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400" windowHeight="8640" tabRatio="500"/>
  </bookViews>
  <sheets>
    <sheet name="หญิง" sheetId="1" r:id="rId1"/>
    <sheet name="ชาย" sheetId="2" r:id="rId2"/>
    <sheet name="Sheet1" sheetId="3" r:id="rId3"/>
  </sheets>
  <definedNames>
    <definedName name="_xlnm._FilterDatabase" localSheetId="1" hidden="1">ชาย!$A$5:$L$1000</definedName>
    <definedName name="_xlnm._FilterDatabase" localSheetId="0" hidden="1">หญิง!$A$6:$L$6</definedName>
    <definedName name="_xlnm.Print_Titles" localSheetId="1">ชาย!$1:$4</definedName>
    <definedName name="_xlnm.Print_Titles" localSheetId="0">หญิง!$1:$4</definedName>
  </definedNames>
  <calcPr calcId="145621"/>
</workbook>
</file>

<file path=xl/calcChain.xml><?xml version="1.0" encoding="utf-8"?>
<calcChain xmlns="http://schemas.openxmlformats.org/spreadsheetml/2006/main">
  <c r="I31" i="2" l="1"/>
  <c r="I32" i="2"/>
  <c r="I30" i="2"/>
  <c r="I26" i="2"/>
  <c r="I27" i="2"/>
  <c r="I25" i="2"/>
  <c r="I99" i="2"/>
  <c r="I100" i="2"/>
  <c r="I98" i="2"/>
  <c r="I84" i="2"/>
  <c r="I80" i="2"/>
  <c r="I76" i="2"/>
  <c r="I72" i="2"/>
  <c r="I68" i="2"/>
  <c r="I64" i="2"/>
  <c r="I56" i="2"/>
  <c r="I52" i="2"/>
  <c r="H903" i="1"/>
  <c r="H904" i="1"/>
  <c r="H905" i="1"/>
  <c r="H906" i="1"/>
  <c r="H907" i="1"/>
  <c r="J907" i="1" s="1"/>
  <c r="H908" i="1"/>
  <c r="H909" i="1"/>
  <c r="H910" i="1"/>
  <c r="H911" i="1"/>
  <c r="H912" i="1"/>
  <c r="H913" i="1"/>
  <c r="H914" i="1"/>
  <c r="J914" i="1" s="1"/>
  <c r="H915" i="1"/>
  <c r="H916" i="1"/>
  <c r="H917" i="1"/>
  <c r="H918" i="1"/>
  <c r="H919" i="1"/>
  <c r="H920" i="1"/>
  <c r="H921" i="1"/>
  <c r="H922" i="1"/>
  <c r="H923" i="1"/>
  <c r="J923" i="1" s="1"/>
  <c r="H924" i="1"/>
  <c r="H925" i="1"/>
  <c r="H926" i="1"/>
  <c r="H927" i="1"/>
  <c r="J927" i="1" s="1"/>
  <c r="H928" i="1"/>
  <c r="H929" i="1"/>
  <c r="H930" i="1"/>
  <c r="H931" i="1"/>
  <c r="J931" i="1" s="1"/>
  <c r="H932" i="1"/>
  <c r="H933" i="1"/>
  <c r="H934" i="1"/>
  <c r="H935" i="1"/>
  <c r="J935" i="1" s="1"/>
  <c r="H936" i="1"/>
  <c r="H937" i="1"/>
  <c r="H938" i="1"/>
  <c r="H939" i="1"/>
  <c r="J939" i="1" s="1"/>
  <c r="H940" i="1"/>
  <c r="H941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J902" i="1"/>
  <c r="J29" i="2"/>
  <c r="J28" i="2"/>
  <c r="J97" i="2"/>
  <c r="J112" i="2"/>
  <c r="J154" i="2"/>
  <c r="J228" i="2"/>
  <c r="J233" i="2"/>
  <c r="J273" i="2"/>
  <c r="J312" i="2"/>
  <c r="J315" i="2"/>
  <c r="J429" i="2"/>
  <c r="J432" i="2"/>
  <c r="J474" i="2"/>
  <c r="J493" i="2"/>
  <c r="J539" i="2"/>
  <c r="J557" i="2"/>
  <c r="J562" i="2"/>
  <c r="J573" i="2"/>
  <c r="J581" i="2"/>
  <c r="J692" i="2"/>
  <c r="J697" i="2"/>
  <c r="J712" i="2"/>
  <c r="J716" i="2"/>
  <c r="J783" i="2"/>
  <c r="J882" i="2"/>
  <c r="J892" i="2"/>
  <c r="J907" i="2"/>
  <c r="J908" i="2"/>
  <c r="J919" i="2"/>
  <c r="J920" i="2"/>
  <c r="J961" i="2"/>
  <c r="J962" i="2"/>
  <c r="J966" i="2"/>
  <c r="J968" i="2"/>
  <c r="J987" i="2"/>
  <c r="J988" i="2"/>
  <c r="J990" i="2"/>
  <c r="H6" i="2"/>
  <c r="I6" i="2"/>
  <c r="J221" i="1"/>
  <c r="J870" i="1"/>
  <c r="J872" i="1"/>
  <c r="H5" i="1"/>
  <c r="I5" i="1"/>
  <c r="I160" i="2"/>
  <c r="I155" i="2"/>
  <c r="I156" i="2"/>
  <c r="I153" i="2"/>
  <c r="I152" i="2"/>
  <c r="I148" i="2"/>
  <c r="I144" i="2"/>
  <c r="I140" i="2"/>
  <c r="I136" i="2"/>
  <c r="I132" i="2"/>
  <c r="I128" i="2"/>
  <c r="I124" i="2"/>
  <c r="I120" i="2"/>
  <c r="I116" i="2"/>
  <c r="I110" i="2"/>
  <c r="I111" i="2"/>
  <c r="I109" i="2"/>
  <c r="I108" i="2"/>
  <c r="I104" i="2"/>
  <c r="I96" i="2"/>
  <c r="I92" i="2"/>
  <c r="I88" i="2"/>
  <c r="I582" i="2"/>
  <c r="I583" i="2"/>
  <c r="I584" i="2"/>
  <c r="I871" i="1"/>
  <c r="I999" i="1"/>
  <c r="I1000" i="1"/>
  <c r="I1001" i="1"/>
  <c r="I998" i="1"/>
  <c r="I995" i="1"/>
  <c r="I996" i="1"/>
  <c r="I997" i="1"/>
  <c r="I994" i="1"/>
  <c r="I991" i="1"/>
  <c r="I992" i="1"/>
  <c r="I993" i="1"/>
  <c r="I990" i="1"/>
  <c r="I987" i="1"/>
  <c r="I988" i="1"/>
  <c r="I989" i="1"/>
  <c r="I986" i="1"/>
  <c r="I983" i="1"/>
  <c r="I984" i="1"/>
  <c r="I985" i="1"/>
  <c r="I982" i="1"/>
  <c r="I979" i="1"/>
  <c r="I980" i="1"/>
  <c r="I981" i="1"/>
  <c r="I978" i="1"/>
  <c r="I975" i="1"/>
  <c r="I976" i="1"/>
  <c r="I977" i="1"/>
  <c r="I974" i="1"/>
  <c r="I971" i="1"/>
  <c r="I972" i="1"/>
  <c r="I973" i="1"/>
  <c r="I970" i="1"/>
  <c r="I967" i="1"/>
  <c r="I968" i="1"/>
  <c r="I969" i="1"/>
  <c r="I966" i="1"/>
  <c r="I963" i="1"/>
  <c r="I964" i="1"/>
  <c r="I965" i="1"/>
  <c r="I962" i="1"/>
  <c r="I959" i="1"/>
  <c r="I960" i="1"/>
  <c r="I961" i="1"/>
  <c r="I958" i="1"/>
  <c r="I955" i="1"/>
  <c r="I956" i="1"/>
  <c r="I957" i="1"/>
  <c r="I954" i="1"/>
  <c r="I951" i="1"/>
  <c r="I952" i="1"/>
  <c r="I953" i="1"/>
  <c r="I950" i="1"/>
  <c r="I947" i="1"/>
  <c r="I948" i="1"/>
  <c r="I949" i="1"/>
  <c r="I946" i="1"/>
  <c r="I943" i="1"/>
  <c r="I944" i="1"/>
  <c r="I945" i="1"/>
  <c r="I942" i="1"/>
  <c r="J942" i="1" s="1"/>
  <c r="I939" i="1"/>
  <c r="I940" i="1"/>
  <c r="I941" i="1"/>
  <c r="I938" i="1"/>
  <c r="J938" i="1" s="1"/>
  <c r="I935" i="1"/>
  <c r="I936" i="1"/>
  <c r="I937" i="1"/>
  <c r="I934" i="1"/>
  <c r="J934" i="1" s="1"/>
  <c r="I931" i="1"/>
  <c r="I932" i="1"/>
  <c r="I933" i="1"/>
  <c r="I930" i="1"/>
  <c r="J930" i="1" s="1"/>
  <c r="I927" i="1"/>
  <c r="I928" i="1"/>
  <c r="I929" i="1"/>
  <c r="I926" i="1"/>
  <c r="J926" i="1" s="1"/>
  <c r="I923" i="1"/>
  <c r="I924" i="1"/>
  <c r="I925" i="1"/>
  <c r="I922" i="1"/>
  <c r="J922" i="1" s="1"/>
  <c r="I919" i="1"/>
  <c r="I920" i="1"/>
  <c r="I921" i="1"/>
  <c r="I918" i="1"/>
  <c r="J918" i="1" s="1"/>
  <c r="I915" i="1"/>
  <c r="I916" i="1"/>
  <c r="I917" i="1"/>
  <c r="J917" i="1"/>
  <c r="I914" i="1"/>
  <c r="I911" i="1"/>
  <c r="J911" i="1"/>
  <c r="I912" i="1"/>
  <c r="I913" i="1"/>
  <c r="I910" i="1"/>
  <c r="J910" i="1"/>
  <c r="I907" i="1"/>
  <c r="I908" i="1"/>
  <c r="I909" i="1"/>
  <c r="I906" i="1"/>
  <c r="I903" i="1"/>
  <c r="I904" i="1"/>
  <c r="I905" i="1"/>
  <c r="I899" i="1"/>
  <c r="I900" i="1"/>
  <c r="I901" i="1"/>
  <c r="I898" i="1"/>
  <c r="I895" i="1"/>
  <c r="I896" i="1"/>
  <c r="I897" i="1"/>
  <c r="I894" i="1"/>
  <c r="I891" i="1"/>
  <c r="I892" i="1"/>
  <c r="I893" i="1"/>
  <c r="I890" i="1"/>
  <c r="I887" i="1"/>
  <c r="I888" i="1"/>
  <c r="I889" i="1"/>
  <c r="I886" i="1"/>
  <c r="I883" i="1"/>
  <c r="I884" i="1"/>
  <c r="I885" i="1"/>
  <c r="I882" i="1"/>
  <c r="I879" i="1"/>
  <c r="I880" i="1"/>
  <c r="I881" i="1"/>
  <c r="I878" i="1"/>
  <c r="I875" i="1"/>
  <c r="I876" i="1"/>
  <c r="I877" i="1"/>
  <c r="I874" i="1"/>
  <c r="I873" i="1"/>
  <c r="I867" i="1"/>
  <c r="I868" i="1"/>
  <c r="I869" i="1"/>
  <c r="I866" i="1"/>
  <c r="I863" i="1"/>
  <c r="I864" i="1"/>
  <c r="I865" i="1"/>
  <c r="I862" i="1"/>
  <c r="I859" i="1"/>
  <c r="I860" i="1"/>
  <c r="I861" i="1"/>
  <c r="I858" i="1"/>
  <c r="I855" i="1"/>
  <c r="I856" i="1"/>
  <c r="I857" i="1"/>
  <c r="I854" i="1"/>
  <c r="I851" i="1"/>
  <c r="I852" i="1"/>
  <c r="I853" i="1"/>
  <c r="I850" i="1"/>
  <c r="I847" i="1"/>
  <c r="I848" i="1"/>
  <c r="I849" i="1"/>
  <c r="I846" i="1"/>
  <c r="I843" i="1"/>
  <c r="I844" i="1"/>
  <c r="I845" i="1"/>
  <c r="I842" i="1"/>
  <c r="I839" i="1"/>
  <c r="I840" i="1"/>
  <c r="I841" i="1"/>
  <c r="I838" i="1"/>
  <c r="I835" i="1"/>
  <c r="I836" i="1"/>
  <c r="I837" i="1"/>
  <c r="I834" i="1"/>
  <c r="I833" i="1"/>
  <c r="I831" i="1"/>
  <c r="I832" i="1"/>
  <c r="I830" i="1"/>
  <c r="I827" i="1"/>
  <c r="I828" i="1"/>
  <c r="I829" i="1"/>
  <c r="I826" i="1"/>
  <c r="I823" i="1"/>
  <c r="I824" i="1"/>
  <c r="I825" i="1"/>
  <c r="I822" i="1"/>
  <c r="I819" i="1"/>
  <c r="I820" i="1"/>
  <c r="I821" i="1"/>
  <c r="I818" i="1"/>
  <c r="I815" i="1"/>
  <c r="I816" i="1"/>
  <c r="I817" i="1"/>
  <c r="I814" i="1"/>
  <c r="I811" i="1"/>
  <c r="I812" i="1"/>
  <c r="I813" i="1"/>
  <c r="I810" i="1"/>
  <c r="I807" i="1"/>
  <c r="I808" i="1"/>
  <c r="I809" i="1"/>
  <c r="I806" i="1"/>
  <c r="I803" i="1"/>
  <c r="I804" i="1"/>
  <c r="I805" i="1"/>
  <c r="I802" i="1"/>
  <c r="I799" i="1"/>
  <c r="I800" i="1"/>
  <c r="I801" i="1"/>
  <c r="I798" i="1"/>
  <c r="I795" i="1"/>
  <c r="I796" i="1"/>
  <c r="I797" i="1"/>
  <c r="I794" i="1"/>
  <c r="I791" i="1"/>
  <c r="I792" i="1"/>
  <c r="I793" i="1"/>
  <c r="I790" i="1"/>
  <c r="I787" i="1"/>
  <c r="I788" i="1"/>
  <c r="I789" i="1"/>
  <c r="I786" i="1"/>
  <c r="I783" i="1"/>
  <c r="I784" i="1"/>
  <c r="I785" i="1"/>
  <c r="I782" i="1"/>
  <c r="I779" i="1"/>
  <c r="I780" i="1"/>
  <c r="I781" i="1"/>
  <c r="I778" i="1"/>
  <c r="I775" i="1"/>
  <c r="I776" i="1"/>
  <c r="I777" i="1"/>
  <c r="I774" i="1"/>
  <c r="I771" i="1"/>
  <c r="I772" i="1"/>
  <c r="I773" i="1"/>
  <c r="I770" i="1"/>
  <c r="I769" i="1"/>
  <c r="I767" i="1"/>
  <c r="I768" i="1"/>
  <c r="I766" i="1"/>
  <c r="I763" i="1"/>
  <c r="I764" i="1"/>
  <c r="I765" i="1"/>
  <c r="I762" i="1"/>
  <c r="I759" i="1"/>
  <c r="I760" i="1"/>
  <c r="I761" i="1"/>
  <c r="I758" i="1"/>
  <c r="I755" i="1"/>
  <c r="I756" i="1"/>
  <c r="I757" i="1"/>
  <c r="I754" i="1"/>
  <c r="I751" i="1"/>
  <c r="I752" i="1"/>
  <c r="I753" i="1"/>
  <c r="I750" i="1"/>
  <c r="I747" i="1"/>
  <c r="I748" i="1"/>
  <c r="I749" i="1"/>
  <c r="I746" i="1"/>
  <c r="I743" i="1"/>
  <c r="I744" i="1"/>
  <c r="I745" i="1"/>
  <c r="I742" i="1"/>
  <c r="I739" i="1"/>
  <c r="I740" i="1"/>
  <c r="I741" i="1"/>
  <c r="I738" i="1"/>
  <c r="I735" i="1"/>
  <c r="I736" i="1"/>
  <c r="I737" i="1"/>
  <c r="I734" i="1"/>
  <c r="I731" i="1"/>
  <c r="I732" i="1"/>
  <c r="I733" i="1"/>
  <c r="I730" i="1"/>
  <c r="I727" i="1"/>
  <c r="I728" i="1"/>
  <c r="I729" i="1"/>
  <c r="I726" i="1"/>
  <c r="I723" i="1"/>
  <c r="I724" i="1"/>
  <c r="I725" i="1"/>
  <c r="I722" i="1"/>
  <c r="I719" i="1"/>
  <c r="I720" i="1"/>
  <c r="I721" i="1"/>
  <c r="I718" i="1"/>
  <c r="I715" i="1"/>
  <c r="I716" i="1"/>
  <c r="I717" i="1"/>
  <c r="I714" i="1"/>
  <c r="I711" i="1"/>
  <c r="I712" i="1"/>
  <c r="I713" i="1"/>
  <c r="I710" i="1"/>
  <c r="I707" i="1"/>
  <c r="I708" i="1"/>
  <c r="I709" i="1"/>
  <c r="I706" i="1"/>
  <c r="I703" i="1"/>
  <c r="I704" i="1"/>
  <c r="I705" i="1"/>
  <c r="I702" i="1"/>
  <c r="I699" i="1"/>
  <c r="I700" i="1"/>
  <c r="I701" i="1"/>
  <c r="I698" i="1"/>
  <c r="I695" i="1"/>
  <c r="I696" i="1"/>
  <c r="I697" i="1"/>
  <c r="I694" i="1"/>
  <c r="I691" i="1"/>
  <c r="I692" i="1"/>
  <c r="I693" i="1"/>
  <c r="I690" i="1"/>
  <c r="I687" i="1"/>
  <c r="I688" i="1"/>
  <c r="I689" i="1"/>
  <c r="I686" i="1"/>
  <c r="I683" i="1"/>
  <c r="I684" i="1"/>
  <c r="I685" i="1"/>
  <c r="I682" i="1"/>
  <c r="I679" i="1"/>
  <c r="I680" i="1"/>
  <c r="I681" i="1"/>
  <c r="I678" i="1"/>
  <c r="I675" i="1"/>
  <c r="I676" i="1"/>
  <c r="I677" i="1"/>
  <c r="I674" i="1"/>
  <c r="I671" i="1"/>
  <c r="I672" i="1"/>
  <c r="I673" i="1"/>
  <c r="I670" i="1"/>
  <c r="I667" i="1"/>
  <c r="I668" i="1"/>
  <c r="I669" i="1"/>
  <c r="I666" i="1"/>
  <c r="I663" i="1"/>
  <c r="I664" i="1"/>
  <c r="I665" i="1"/>
  <c r="I662" i="1"/>
  <c r="I659" i="1"/>
  <c r="I660" i="1"/>
  <c r="I661" i="1"/>
  <c r="I658" i="1"/>
  <c r="I655" i="1"/>
  <c r="I656" i="1"/>
  <c r="I657" i="1"/>
  <c r="I654" i="1"/>
  <c r="I651" i="1"/>
  <c r="I652" i="1"/>
  <c r="I653" i="1"/>
  <c r="I650" i="1"/>
  <c r="I647" i="1"/>
  <c r="I648" i="1"/>
  <c r="I649" i="1"/>
  <c r="I646" i="1"/>
  <c r="I643" i="1"/>
  <c r="I644" i="1"/>
  <c r="I645" i="1"/>
  <c r="I642" i="1"/>
  <c r="I639" i="1"/>
  <c r="I640" i="1"/>
  <c r="I641" i="1"/>
  <c r="I638" i="1"/>
  <c r="I635" i="1"/>
  <c r="I636" i="1"/>
  <c r="I637" i="1"/>
  <c r="I634" i="1"/>
  <c r="I631" i="1"/>
  <c r="I632" i="1"/>
  <c r="I633" i="1"/>
  <c r="I630" i="1"/>
  <c r="I627" i="1"/>
  <c r="I628" i="1"/>
  <c r="I629" i="1"/>
  <c r="I626" i="1"/>
  <c r="I623" i="1"/>
  <c r="I624" i="1"/>
  <c r="I625" i="1"/>
  <c r="I622" i="1"/>
  <c r="I619" i="1"/>
  <c r="I620" i="1"/>
  <c r="I621" i="1"/>
  <c r="I618" i="1"/>
  <c r="I615" i="1"/>
  <c r="I616" i="1"/>
  <c r="I617" i="1"/>
  <c r="I614" i="1"/>
  <c r="I611" i="1"/>
  <c r="I612" i="1"/>
  <c r="I613" i="1"/>
  <c r="I610" i="1"/>
  <c r="I607" i="1"/>
  <c r="I608" i="1"/>
  <c r="I609" i="1"/>
  <c r="I606" i="1"/>
  <c r="I603" i="1"/>
  <c r="I604" i="1"/>
  <c r="I605" i="1"/>
  <c r="I602" i="1"/>
  <c r="I599" i="1"/>
  <c r="I600" i="1"/>
  <c r="I601" i="1"/>
  <c r="I598" i="1"/>
  <c r="I595" i="1"/>
  <c r="I596" i="1"/>
  <c r="I597" i="1"/>
  <c r="I594" i="1"/>
  <c r="I591" i="1"/>
  <c r="I592" i="1"/>
  <c r="I593" i="1"/>
  <c r="I590" i="1"/>
  <c r="I587" i="1"/>
  <c r="I588" i="1"/>
  <c r="I589" i="1"/>
  <c r="I586" i="1"/>
  <c r="I583" i="1"/>
  <c r="I584" i="1"/>
  <c r="I585" i="1"/>
  <c r="I582" i="1"/>
  <c r="I579" i="1"/>
  <c r="I580" i="1"/>
  <c r="I581" i="1"/>
  <c r="I578" i="1"/>
  <c r="I575" i="1"/>
  <c r="I576" i="1"/>
  <c r="I577" i="1"/>
  <c r="I574" i="1"/>
  <c r="I571" i="1"/>
  <c r="I572" i="1"/>
  <c r="I573" i="1"/>
  <c r="I570" i="1"/>
  <c r="I567" i="1"/>
  <c r="I568" i="1"/>
  <c r="I569" i="1"/>
  <c r="I566" i="1"/>
  <c r="I563" i="1"/>
  <c r="I564" i="1"/>
  <c r="I565" i="1"/>
  <c r="I562" i="1"/>
  <c r="I559" i="1"/>
  <c r="I560" i="1"/>
  <c r="I561" i="1"/>
  <c r="I558" i="1"/>
  <c r="I555" i="1"/>
  <c r="I556" i="1"/>
  <c r="I557" i="1"/>
  <c r="I554" i="1"/>
  <c r="I553" i="1"/>
  <c r="I551" i="1"/>
  <c r="I552" i="1"/>
  <c r="I550" i="1"/>
  <c r="I547" i="1"/>
  <c r="I548" i="1"/>
  <c r="I549" i="1"/>
  <c r="I546" i="1"/>
  <c r="I543" i="1"/>
  <c r="I544" i="1"/>
  <c r="I545" i="1"/>
  <c r="I542" i="1"/>
  <c r="I539" i="1"/>
  <c r="I540" i="1"/>
  <c r="I541" i="1"/>
  <c r="I538" i="1"/>
  <c r="I535" i="1"/>
  <c r="I536" i="1"/>
  <c r="I537" i="1"/>
  <c r="I534" i="1"/>
  <c r="I531" i="1"/>
  <c r="I532" i="1"/>
  <c r="I533" i="1"/>
  <c r="I530" i="1"/>
  <c r="I527" i="1"/>
  <c r="I528" i="1"/>
  <c r="I529" i="1"/>
  <c r="I526" i="1"/>
  <c r="I523" i="1"/>
  <c r="I524" i="1"/>
  <c r="I525" i="1"/>
  <c r="I522" i="1"/>
  <c r="I519" i="1"/>
  <c r="I520" i="1"/>
  <c r="I521" i="1"/>
  <c r="I518" i="1"/>
  <c r="I515" i="1"/>
  <c r="I516" i="1"/>
  <c r="I517" i="1"/>
  <c r="I514" i="1"/>
  <c r="I511" i="1"/>
  <c r="I512" i="1"/>
  <c r="I513" i="1"/>
  <c r="I510" i="1"/>
  <c r="I507" i="1"/>
  <c r="I508" i="1"/>
  <c r="I509" i="1"/>
  <c r="I506" i="1"/>
  <c r="I503" i="1"/>
  <c r="I504" i="1"/>
  <c r="I505" i="1"/>
  <c r="I502" i="1"/>
  <c r="I499" i="1"/>
  <c r="I500" i="1"/>
  <c r="I501" i="1"/>
  <c r="I498" i="1"/>
  <c r="I495" i="1"/>
  <c r="I496" i="1"/>
  <c r="I497" i="1"/>
  <c r="I494" i="1"/>
  <c r="I491" i="1"/>
  <c r="I492" i="1"/>
  <c r="I493" i="1"/>
  <c r="I490" i="1"/>
  <c r="I487" i="1"/>
  <c r="I488" i="1"/>
  <c r="I489" i="1"/>
  <c r="I486" i="1"/>
  <c r="I483" i="1"/>
  <c r="I484" i="1"/>
  <c r="I485" i="1"/>
  <c r="I482" i="1"/>
  <c r="I479" i="1"/>
  <c r="I480" i="1"/>
  <c r="I481" i="1"/>
  <c r="I478" i="1"/>
  <c r="I475" i="1"/>
  <c r="I476" i="1"/>
  <c r="I477" i="1"/>
  <c r="I474" i="1"/>
  <c r="I471" i="1"/>
  <c r="I472" i="1"/>
  <c r="I473" i="1"/>
  <c r="I470" i="1"/>
  <c r="I467" i="1"/>
  <c r="I468" i="1"/>
  <c r="I469" i="1"/>
  <c r="I466" i="1"/>
  <c r="I463" i="1"/>
  <c r="I464" i="1"/>
  <c r="I465" i="1"/>
  <c r="I462" i="1"/>
  <c r="I459" i="1"/>
  <c r="I460" i="1"/>
  <c r="I461" i="1"/>
  <c r="I458" i="1"/>
  <c r="I455" i="1"/>
  <c r="I456" i="1"/>
  <c r="I457" i="1"/>
  <c r="I454" i="1"/>
  <c r="I451" i="1"/>
  <c r="I452" i="1"/>
  <c r="I453" i="1"/>
  <c r="I450" i="1"/>
  <c r="I447" i="1"/>
  <c r="I448" i="1"/>
  <c r="I449" i="1"/>
  <c r="I446" i="1"/>
  <c r="I443" i="1"/>
  <c r="I444" i="1"/>
  <c r="I445" i="1"/>
  <c r="I442" i="1"/>
  <c r="I439" i="1"/>
  <c r="I440" i="1"/>
  <c r="I441" i="1"/>
  <c r="I438" i="1"/>
  <c r="I435" i="1"/>
  <c r="I436" i="1"/>
  <c r="I437" i="1"/>
  <c r="I434" i="1"/>
  <c r="I431" i="1"/>
  <c r="I432" i="1"/>
  <c r="I433" i="1"/>
  <c r="I430" i="1"/>
  <c r="I427" i="1"/>
  <c r="I428" i="1"/>
  <c r="I429" i="1"/>
  <c r="I426" i="1"/>
  <c r="I423" i="1"/>
  <c r="I424" i="1"/>
  <c r="I425" i="1"/>
  <c r="I422" i="1"/>
  <c r="I419" i="1"/>
  <c r="I420" i="1"/>
  <c r="I421" i="1"/>
  <c r="I418" i="1"/>
  <c r="I415" i="1"/>
  <c r="I416" i="1"/>
  <c r="I417" i="1"/>
  <c r="I414" i="1"/>
  <c r="I411" i="1"/>
  <c r="I412" i="1"/>
  <c r="I413" i="1"/>
  <c r="I410" i="1"/>
  <c r="I407" i="1"/>
  <c r="I408" i="1"/>
  <c r="I409" i="1"/>
  <c r="I406" i="1"/>
  <c r="I403" i="1"/>
  <c r="I404" i="1"/>
  <c r="I405" i="1"/>
  <c r="I402" i="1"/>
  <c r="I400" i="1"/>
  <c r="I401" i="1"/>
  <c r="I399" i="1"/>
  <c r="I398" i="1"/>
  <c r="I395" i="1"/>
  <c r="I396" i="1"/>
  <c r="I397" i="1"/>
  <c r="I394" i="1"/>
  <c r="I391" i="1"/>
  <c r="I392" i="1"/>
  <c r="I393" i="1"/>
  <c r="I390" i="1"/>
  <c r="I387" i="1"/>
  <c r="I388" i="1"/>
  <c r="I389" i="1"/>
  <c r="I386" i="1"/>
  <c r="I383" i="1"/>
  <c r="I384" i="1"/>
  <c r="I385" i="1"/>
  <c r="I382" i="1"/>
  <c r="I379" i="1"/>
  <c r="I380" i="1"/>
  <c r="I381" i="1"/>
  <c r="I378" i="1"/>
  <c r="I375" i="1"/>
  <c r="I376" i="1"/>
  <c r="I377" i="1"/>
  <c r="I374" i="1"/>
  <c r="I371" i="1"/>
  <c r="I372" i="1"/>
  <c r="I373" i="1"/>
  <c r="I370" i="1"/>
  <c r="I367" i="1"/>
  <c r="I368" i="1"/>
  <c r="I369" i="1"/>
  <c r="I366" i="1"/>
  <c r="I363" i="1"/>
  <c r="I364" i="1"/>
  <c r="I365" i="1"/>
  <c r="I362" i="1"/>
  <c r="I359" i="1"/>
  <c r="I360" i="1"/>
  <c r="I361" i="1"/>
  <c r="I358" i="1"/>
  <c r="I355" i="1"/>
  <c r="I356" i="1"/>
  <c r="I357" i="1"/>
  <c r="I354" i="1"/>
  <c r="I351" i="1"/>
  <c r="I352" i="1"/>
  <c r="I353" i="1"/>
  <c r="I350" i="1"/>
  <c r="I349" i="1"/>
  <c r="I347" i="1"/>
  <c r="I348" i="1"/>
  <c r="I346" i="1"/>
  <c r="I343" i="1"/>
  <c r="I344" i="1"/>
  <c r="I345" i="1"/>
  <c r="I342" i="1"/>
  <c r="I339" i="1"/>
  <c r="I340" i="1"/>
  <c r="I341" i="1"/>
  <c r="I338" i="1"/>
  <c r="I335" i="1"/>
  <c r="I336" i="1"/>
  <c r="I337" i="1"/>
  <c r="I334" i="1"/>
  <c r="I331" i="1"/>
  <c r="I332" i="1"/>
  <c r="I333" i="1"/>
  <c r="I330" i="1"/>
  <c r="I327" i="1"/>
  <c r="I328" i="1"/>
  <c r="I329" i="1"/>
  <c r="I326" i="1"/>
  <c r="I323" i="1"/>
  <c r="I324" i="1"/>
  <c r="I325" i="1"/>
  <c r="I322" i="1"/>
  <c r="I319" i="1"/>
  <c r="I320" i="1"/>
  <c r="I321" i="1"/>
  <c r="I318" i="1"/>
  <c r="I315" i="1"/>
  <c r="I316" i="1"/>
  <c r="I317" i="1"/>
  <c r="I314" i="1"/>
  <c r="I311" i="1"/>
  <c r="I312" i="1"/>
  <c r="I313" i="1"/>
  <c r="I310" i="1"/>
  <c r="I307" i="1"/>
  <c r="I308" i="1"/>
  <c r="I309" i="1"/>
  <c r="I306" i="1"/>
  <c r="I303" i="1"/>
  <c r="I304" i="1"/>
  <c r="I305" i="1"/>
  <c r="I302" i="1"/>
  <c r="I299" i="1"/>
  <c r="I300" i="1"/>
  <c r="I301" i="1"/>
  <c r="I298" i="1"/>
  <c r="I295" i="1"/>
  <c r="I296" i="1"/>
  <c r="I297" i="1"/>
  <c r="I294" i="1"/>
  <c r="I291" i="1"/>
  <c r="I292" i="1"/>
  <c r="I293" i="1"/>
  <c r="I290" i="1"/>
  <c r="I287" i="1"/>
  <c r="I288" i="1"/>
  <c r="I289" i="1"/>
  <c r="I286" i="1"/>
  <c r="I283" i="1"/>
  <c r="I284" i="1"/>
  <c r="I285" i="1"/>
  <c r="I282" i="1"/>
  <c r="I279" i="1"/>
  <c r="I280" i="1"/>
  <c r="I281" i="1"/>
  <c r="I278" i="1"/>
  <c r="I275" i="1"/>
  <c r="I276" i="1"/>
  <c r="I277" i="1"/>
  <c r="I274" i="1"/>
  <c r="I271" i="1"/>
  <c r="I272" i="1"/>
  <c r="I273" i="1"/>
  <c r="I270" i="1"/>
  <c r="I267" i="1"/>
  <c r="I268" i="1"/>
  <c r="I269" i="1"/>
  <c r="I266" i="1"/>
  <c r="I263" i="1"/>
  <c r="I264" i="1"/>
  <c r="I265" i="1"/>
  <c r="I262" i="1"/>
  <c r="I259" i="1"/>
  <c r="I260" i="1"/>
  <c r="I261" i="1"/>
  <c r="I258" i="1"/>
  <c r="I255" i="1"/>
  <c r="I256" i="1"/>
  <c r="I257" i="1"/>
  <c r="I254" i="1"/>
  <c r="I251" i="1"/>
  <c r="I252" i="1"/>
  <c r="I253" i="1"/>
  <c r="I250" i="1"/>
  <c r="I247" i="1"/>
  <c r="I248" i="1"/>
  <c r="I249" i="1"/>
  <c r="I246" i="1"/>
  <c r="I243" i="1"/>
  <c r="I244" i="1"/>
  <c r="I245" i="1"/>
  <c r="I239" i="1"/>
  <c r="I240" i="1"/>
  <c r="I241" i="1"/>
  <c r="I238" i="1"/>
  <c r="I242" i="1"/>
  <c r="I235" i="1"/>
  <c r="I236" i="1"/>
  <c r="I237" i="1"/>
  <c r="I234" i="1"/>
  <c r="I231" i="1"/>
  <c r="I232" i="1"/>
  <c r="I233" i="1"/>
  <c r="I230" i="1"/>
  <c r="I227" i="1"/>
  <c r="I228" i="1"/>
  <c r="I229" i="1"/>
  <c r="I226" i="1"/>
  <c r="I223" i="1"/>
  <c r="I224" i="1"/>
  <c r="I225" i="1"/>
  <c r="I222" i="1"/>
  <c r="I219" i="1"/>
  <c r="I220" i="1"/>
  <c r="I218" i="1"/>
  <c r="I215" i="1"/>
  <c r="I216" i="1"/>
  <c r="I217" i="1"/>
  <c r="I214" i="1"/>
  <c r="I211" i="1"/>
  <c r="I212" i="1"/>
  <c r="I213" i="1"/>
  <c r="I210" i="1"/>
  <c r="I207" i="1"/>
  <c r="I208" i="1"/>
  <c r="I209" i="1"/>
  <c r="I206" i="1"/>
  <c r="I203" i="1"/>
  <c r="I204" i="1"/>
  <c r="I205" i="1"/>
  <c r="I202" i="1"/>
  <c r="I199" i="1"/>
  <c r="I200" i="1"/>
  <c r="I201" i="1"/>
  <c r="I198" i="1"/>
  <c r="I195" i="1"/>
  <c r="I196" i="1"/>
  <c r="I197" i="1"/>
  <c r="I194" i="1"/>
  <c r="I191" i="1"/>
  <c r="I192" i="1"/>
  <c r="I193" i="1"/>
  <c r="I190" i="1"/>
  <c r="I187" i="1"/>
  <c r="I188" i="1"/>
  <c r="I189" i="1"/>
  <c r="I186" i="1"/>
  <c r="I183" i="1"/>
  <c r="I184" i="1"/>
  <c r="I185" i="1"/>
  <c r="I182" i="1"/>
  <c r="I179" i="1"/>
  <c r="I180" i="1"/>
  <c r="I181" i="1"/>
  <c r="I178" i="1"/>
  <c r="I175" i="1"/>
  <c r="I176" i="1"/>
  <c r="I177" i="1"/>
  <c r="I174" i="1"/>
  <c r="I171" i="1"/>
  <c r="I172" i="1"/>
  <c r="I173" i="1"/>
  <c r="I170" i="1"/>
  <c r="I167" i="1"/>
  <c r="I168" i="1"/>
  <c r="I169" i="1"/>
  <c r="I166" i="1"/>
  <c r="I163" i="1"/>
  <c r="I164" i="1"/>
  <c r="I165" i="1"/>
  <c r="I162" i="1"/>
  <c r="I159" i="1"/>
  <c r="I160" i="1"/>
  <c r="I161" i="1"/>
  <c r="I158" i="1"/>
  <c r="I155" i="1"/>
  <c r="I156" i="1"/>
  <c r="I157" i="1"/>
  <c r="I154" i="1"/>
  <c r="I151" i="1"/>
  <c r="I152" i="1"/>
  <c r="I153" i="1"/>
  <c r="I150" i="1"/>
  <c r="I147" i="1"/>
  <c r="I148" i="1"/>
  <c r="I149" i="1"/>
  <c r="I146" i="1"/>
  <c r="I143" i="1"/>
  <c r="I144" i="1"/>
  <c r="I145" i="1"/>
  <c r="I142" i="1"/>
  <c r="I139" i="1"/>
  <c r="I140" i="1"/>
  <c r="I141" i="1"/>
  <c r="I138" i="1"/>
  <c r="I135" i="1"/>
  <c r="I136" i="1"/>
  <c r="I137" i="1"/>
  <c r="I134" i="1"/>
  <c r="I131" i="1"/>
  <c r="I132" i="1"/>
  <c r="I133" i="1"/>
  <c r="I130" i="1"/>
  <c r="I127" i="1"/>
  <c r="I128" i="1"/>
  <c r="I129" i="1"/>
  <c r="I126" i="1"/>
  <c r="I123" i="1"/>
  <c r="I124" i="1"/>
  <c r="I125" i="1"/>
  <c r="I122" i="1"/>
  <c r="I119" i="1"/>
  <c r="I120" i="1"/>
  <c r="I121" i="1"/>
  <c r="I118" i="1"/>
  <c r="I115" i="1"/>
  <c r="I116" i="1"/>
  <c r="I117" i="1"/>
  <c r="I114" i="1"/>
  <c r="I111" i="1"/>
  <c r="I112" i="1"/>
  <c r="I113" i="1"/>
  <c r="I110" i="1"/>
  <c r="I107" i="1"/>
  <c r="I108" i="1"/>
  <c r="I109" i="1"/>
  <c r="I106" i="1"/>
  <c r="I103" i="1"/>
  <c r="I104" i="1"/>
  <c r="I105" i="1"/>
  <c r="I102" i="1"/>
  <c r="I99" i="1"/>
  <c r="I100" i="1"/>
  <c r="I101" i="1"/>
  <c r="I98" i="1"/>
  <c r="I95" i="1"/>
  <c r="I96" i="1"/>
  <c r="I97" i="1"/>
  <c r="I94" i="1"/>
  <c r="I91" i="1"/>
  <c r="I92" i="1"/>
  <c r="I93" i="1"/>
  <c r="I90" i="1"/>
  <c r="I87" i="1"/>
  <c r="I88" i="1"/>
  <c r="I89" i="1"/>
  <c r="I86" i="1"/>
  <c r="I83" i="1"/>
  <c r="I84" i="1"/>
  <c r="I85" i="1"/>
  <c r="I82" i="1"/>
  <c r="I79" i="1"/>
  <c r="I80" i="1"/>
  <c r="I81" i="1"/>
  <c r="I78" i="1"/>
  <c r="I75" i="1"/>
  <c r="I76" i="1"/>
  <c r="I77" i="1"/>
  <c r="I74" i="1"/>
  <c r="I71" i="1"/>
  <c r="I72" i="1"/>
  <c r="I73" i="1"/>
  <c r="I70" i="1"/>
  <c r="I67" i="1"/>
  <c r="I68" i="1"/>
  <c r="I69" i="1"/>
  <c r="I66" i="1"/>
  <c r="I63" i="1"/>
  <c r="I64" i="1"/>
  <c r="I65" i="1"/>
  <c r="I62" i="1"/>
  <c r="I59" i="1"/>
  <c r="I60" i="1"/>
  <c r="I61" i="1"/>
  <c r="I58" i="1"/>
  <c r="I55" i="1"/>
  <c r="I56" i="1"/>
  <c r="I57" i="1"/>
  <c r="I54" i="1"/>
  <c r="I51" i="1"/>
  <c r="I52" i="1"/>
  <c r="I53" i="1"/>
  <c r="I50" i="1"/>
  <c r="I49" i="1"/>
  <c r="I47" i="1"/>
  <c r="I48" i="1"/>
  <c r="I46" i="1"/>
  <c r="I43" i="1"/>
  <c r="I44" i="1"/>
  <c r="I45" i="1"/>
  <c r="I42" i="1"/>
  <c r="I39" i="1"/>
  <c r="I40" i="1"/>
  <c r="I41" i="1"/>
  <c r="I38" i="1"/>
  <c r="I34" i="1"/>
  <c r="I35" i="1"/>
  <c r="I36" i="1"/>
  <c r="I33" i="1"/>
  <c r="I30" i="1"/>
  <c r="I31" i="1"/>
  <c r="I32" i="1"/>
  <c r="I28" i="1"/>
  <c r="I29" i="1"/>
  <c r="I26" i="1"/>
  <c r="I27" i="1"/>
  <c r="I25" i="1"/>
  <c r="I22" i="1"/>
  <c r="I23" i="1"/>
  <c r="I24" i="1"/>
  <c r="I21" i="1"/>
  <c r="I18" i="1"/>
  <c r="I19" i="1"/>
  <c r="I20" i="1"/>
  <c r="I17" i="1"/>
  <c r="I14" i="1"/>
  <c r="I15" i="1"/>
  <c r="I16" i="1"/>
  <c r="I13" i="1"/>
  <c r="I10" i="1"/>
  <c r="I11" i="1"/>
  <c r="I12" i="1"/>
  <c r="I9" i="1"/>
  <c r="I6" i="1"/>
  <c r="I7" i="1"/>
  <c r="I8" i="1"/>
  <c r="I998" i="2"/>
  <c r="I999" i="2"/>
  <c r="I1000" i="2"/>
  <c r="I997" i="2"/>
  <c r="I994" i="2"/>
  <c r="I995" i="2"/>
  <c r="I996" i="2"/>
  <c r="I993" i="2"/>
  <c r="I991" i="2"/>
  <c r="I992" i="2"/>
  <c r="I989" i="2"/>
  <c r="I986" i="2"/>
  <c r="I985" i="2"/>
  <c r="I982" i="2"/>
  <c r="I983" i="2"/>
  <c r="I984" i="2"/>
  <c r="I981" i="2"/>
  <c r="I978" i="2"/>
  <c r="I979" i="2"/>
  <c r="I980" i="2"/>
  <c r="I977" i="2"/>
  <c r="I974" i="2"/>
  <c r="I975" i="2"/>
  <c r="I976" i="2"/>
  <c r="I973" i="2"/>
  <c r="I970" i="2"/>
  <c r="I971" i="2"/>
  <c r="I972" i="2"/>
  <c r="I969" i="2"/>
  <c r="I967" i="2"/>
  <c r="I965" i="2"/>
  <c r="I963" i="2"/>
  <c r="I964" i="2"/>
  <c r="I958" i="2"/>
  <c r="I959" i="2"/>
  <c r="I960" i="2"/>
  <c r="I957" i="2"/>
  <c r="I954" i="2"/>
  <c r="I955" i="2"/>
  <c r="I956" i="2"/>
  <c r="I953" i="2"/>
  <c r="I950" i="2"/>
  <c r="I951" i="2"/>
  <c r="I952" i="2"/>
  <c r="I949" i="2"/>
  <c r="I946" i="2"/>
  <c r="I947" i="2"/>
  <c r="I948" i="2"/>
  <c r="I945" i="2"/>
  <c r="I942" i="2"/>
  <c r="I943" i="2"/>
  <c r="I944" i="2"/>
  <c r="I941" i="2"/>
  <c r="I938" i="2"/>
  <c r="I939" i="2"/>
  <c r="I940" i="2"/>
  <c r="I937" i="2"/>
  <c r="I934" i="2"/>
  <c r="I935" i="2"/>
  <c r="I936" i="2"/>
  <c r="I933" i="2"/>
  <c r="I930" i="2"/>
  <c r="I931" i="2"/>
  <c r="I932" i="2"/>
  <c r="I929" i="2"/>
  <c r="I926" i="2"/>
  <c r="I927" i="2"/>
  <c r="I928" i="2"/>
  <c r="I925" i="2"/>
  <c r="I922" i="2"/>
  <c r="I923" i="2"/>
  <c r="I924" i="2"/>
  <c r="I921" i="2"/>
  <c r="I918" i="2"/>
  <c r="I917" i="2"/>
  <c r="I914" i="2"/>
  <c r="I915" i="2"/>
  <c r="I916" i="2"/>
  <c r="I913" i="2"/>
  <c r="I910" i="2"/>
  <c r="I911" i="2"/>
  <c r="I912" i="2"/>
  <c r="I909" i="2"/>
  <c r="I906" i="2"/>
  <c r="I905" i="2"/>
  <c r="I902" i="2"/>
  <c r="I901" i="2"/>
  <c r="I898" i="2"/>
  <c r="I899" i="2"/>
  <c r="I900" i="2"/>
  <c r="I897" i="2"/>
  <c r="I894" i="2"/>
  <c r="I895" i="2"/>
  <c r="I896" i="2"/>
  <c r="I893" i="2"/>
  <c r="I890" i="2"/>
  <c r="I891" i="2"/>
  <c r="I889" i="2"/>
  <c r="I886" i="2"/>
  <c r="I887" i="2"/>
  <c r="I888" i="2"/>
  <c r="I885" i="2"/>
  <c r="I883" i="2"/>
  <c r="I884" i="2"/>
  <c r="I881" i="2"/>
  <c r="I878" i="2"/>
  <c r="I879" i="2"/>
  <c r="I880" i="2"/>
  <c r="I877" i="2"/>
  <c r="I874" i="2"/>
  <c r="I875" i="2"/>
  <c r="I876" i="2"/>
  <c r="I873" i="2"/>
  <c r="I870" i="2"/>
  <c r="I871" i="2"/>
  <c r="I872" i="2"/>
  <c r="I869" i="2"/>
  <c r="I866" i="2"/>
  <c r="I867" i="2"/>
  <c r="I868" i="2"/>
  <c r="I865" i="2"/>
  <c r="I862" i="2"/>
  <c r="I863" i="2"/>
  <c r="I864" i="2"/>
  <c r="I861" i="2"/>
  <c r="I858" i="2"/>
  <c r="I859" i="2"/>
  <c r="I860" i="2"/>
  <c r="I857" i="2"/>
  <c r="I853" i="2"/>
  <c r="I854" i="2"/>
  <c r="I855" i="2"/>
  <c r="I856" i="2"/>
  <c r="I850" i="2"/>
  <c r="I851" i="2"/>
  <c r="I852" i="2"/>
  <c r="I849" i="2"/>
  <c r="I846" i="2"/>
  <c r="I847" i="2"/>
  <c r="I848" i="2"/>
  <c r="I845" i="2"/>
  <c r="I842" i="2"/>
  <c r="J842" i="2" s="1"/>
  <c r="I843" i="2"/>
  <c r="J843" i="2" s="1"/>
  <c r="I844" i="2"/>
  <c r="J844" i="2" s="1"/>
  <c r="I841" i="2"/>
  <c r="J841" i="2" s="1"/>
  <c r="H845" i="2"/>
  <c r="I838" i="2"/>
  <c r="I839" i="2"/>
  <c r="I840" i="2"/>
  <c r="I837" i="2"/>
  <c r="I834" i="2"/>
  <c r="I835" i="2"/>
  <c r="I836" i="2"/>
  <c r="I833" i="2"/>
  <c r="I830" i="2"/>
  <c r="I831" i="2"/>
  <c r="I832" i="2"/>
  <c r="I829" i="2"/>
  <c r="I826" i="2"/>
  <c r="I827" i="2"/>
  <c r="I828" i="2"/>
  <c r="I825" i="2"/>
  <c r="I822" i="2"/>
  <c r="I823" i="2"/>
  <c r="I824" i="2"/>
  <c r="I821" i="2"/>
  <c r="I820" i="2"/>
  <c r="I780" i="2"/>
  <c r="H780" i="2"/>
  <c r="I818" i="2"/>
  <c r="I819" i="2"/>
  <c r="I817" i="2"/>
  <c r="I814" i="2"/>
  <c r="I815" i="2"/>
  <c r="I816" i="2"/>
  <c r="I813" i="2"/>
  <c r="I810" i="2"/>
  <c r="I811" i="2"/>
  <c r="I812" i="2"/>
  <c r="I809" i="2"/>
  <c r="I806" i="2"/>
  <c r="I807" i="2"/>
  <c r="I808" i="2"/>
  <c r="I805" i="2"/>
  <c r="I802" i="2"/>
  <c r="I803" i="2"/>
  <c r="I804" i="2"/>
  <c r="I801" i="2"/>
  <c r="I798" i="2"/>
  <c r="I799" i="2"/>
  <c r="I800" i="2"/>
  <c r="I797" i="2"/>
  <c r="I794" i="2"/>
  <c r="I795" i="2"/>
  <c r="I796" i="2"/>
  <c r="I793" i="2"/>
  <c r="I790" i="2"/>
  <c r="I791" i="2"/>
  <c r="I792" i="2"/>
  <c r="I789" i="2"/>
  <c r="I786" i="2"/>
  <c r="I787" i="2"/>
  <c r="I788" i="2"/>
  <c r="I785" i="2"/>
  <c r="I782" i="2"/>
  <c r="I784" i="2"/>
  <c r="I781" i="2"/>
  <c r="I778" i="2"/>
  <c r="I779" i="2"/>
  <c r="I777" i="2"/>
  <c r="I774" i="2"/>
  <c r="I775" i="2"/>
  <c r="I776" i="2"/>
  <c r="I773" i="2"/>
  <c r="I770" i="2"/>
  <c r="I771" i="2"/>
  <c r="I772" i="2"/>
  <c r="I769" i="2"/>
  <c r="I766" i="2"/>
  <c r="I767" i="2"/>
  <c r="I768" i="2"/>
  <c r="I765" i="2"/>
  <c r="I762" i="2"/>
  <c r="I763" i="2"/>
  <c r="I764" i="2"/>
  <c r="I761" i="2"/>
  <c r="I758" i="2"/>
  <c r="I759" i="2"/>
  <c r="I760" i="2"/>
  <c r="I757" i="2"/>
  <c r="I754" i="2"/>
  <c r="I755" i="2"/>
  <c r="I756" i="2"/>
  <c r="I753" i="2"/>
  <c r="I750" i="2"/>
  <c r="I751" i="2"/>
  <c r="I752" i="2"/>
  <c r="I749" i="2"/>
  <c r="I746" i="2"/>
  <c r="I747" i="2"/>
  <c r="I748" i="2"/>
  <c r="I745" i="2"/>
  <c r="I742" i="2"/>
  <c r="I743" i="2"/>
  <c r="I744" i="2"/>
  <c r="I741" i="2"/>
  <c r="I738" i="2"/>
  <c r="I739" i="2"/>
  <c r="I740" i="2"/>
  <c r="I737" i="2"/>
  <c r="I734" i="2"/>
  <c r="I735" i="2"/>
  <c r="I736" i="2"/>
  <c r="I733" i="2"/>
  <c r="I730" i="2"/>
  <c r="I731" i="2"/>
  <c r="I732" i="2"/>
  <c r="I729" i="2"/>
  <c r="I726" i="2"/>
  <c r="I727" i="2"/>
  <c r="I728" i="2"/>
  <c r="I725" i="2"/>
  <c r="I722" i="2"/>
  <c r="I723" i="2"/>
  <c r="I724" i="2"/>
  <c r="I721" i="2"/>
  <c r="I718" i="2"/>
  <c r="I719" i="2"/>
  <c r="I720" i="2"/>
  <c r="I717" i="2"/>
  <c r="I714" i="2"/>
  <c r="I715" i="2"/>
  <c r="I713" i="2"/>
  <c r="I710" i="2"/>
  <c r="I711" i="2"/>
  <c r="I709" i="2"/>
  <c r="I706" i="2"/>
  <c r="I707" i="2"/>
  <c r="I708" i="2"/>
  <c r="I705" i="2"/>
  <c r="I702" i="2"/>
  <c r="I703" i="2"/>
  <c r="I704" i="2"/>
  <c r="I701" i="2"/>
  <c r="I698" i="2"/>
  <c r="I699" i="2"/>
  <c r="I700" i="2"/>
  <c r="I696" i="2"/>
  <c r="I694" i="2"/>
  <c r="I695" i="2"/>
  <c r="I693" i="2"/>
  <c r="I690" i="2"/>
  <c r="I691" i="2"/>
  <c r="I689" i="2"/>
  <c r="I686" i="2"/>
  <c r="I687" i="2"/>
  <c r="I688" i="2"/>
  <c r="I685" i="2"/>
  <c r="I682" i="2"/>
  <c r="I683" i="2"/>
  <c r="I684" i="2"/>
  <c r="I681" i="2"/>
  <c r="I679" i="2"/>
  <c r="I677" i="2"/>
  <c r="H679" i="2"/>
  <c r="H677" i="2"/>
  <c r="I680" i="2"/>
  <c r="I678" i="2"/>
  <c r="I674" i="2"/>
  <c r="I675" i="2"/>
  <c r="I676" i="2"/>
  <c r="I673" i="2"/>
  <c r="I670" i="2"/>
  <c r="I671" i="2"/>
  <c r="I672" i="2"/>
  <c r="I669" i="2"/>
  <c r="I666" i="2"/>
  <c r="I667" i="2"/>
  <c r="I668" i="2"/>
  <c r="I665" i="2"/>
  <c r="I662" i="2"/>
  <c r="I663" i="2"/>
  <c r="I664" i="2"/>
  <c r="I661" i="2"/>
  <c r="I658" i="2"/>
  <c r="I659" i="2"/>
  <c r="I660" i="2"/>
  <c r="I657" i="2"/>
  <c r="I654" i="2"/>
  <c r="I655" i="2"/>
  <c r="I656" i="2"/>
  <c r="I653" i="2"/>
  <c r="I650" i="2"/>
  <c r="I651" i="2"/>
  <c r="I652" i="2"/>
  <c r="I649" i="2"/>
  <c r="I646" i="2"/>
  <c r="I647" i="2"/>
  <c r="I648" i="2"/>
  <c r="I645" i="2"/>
  <c r="I642" i="2"/>
  <c r="I643" i="2"/>
  <c r="I644" i="2"/>
  <c r="I641" i="2"/>
  <c r="I638" i="2"/>
  <c r="I639" i="2"/>
  <c r="I640" i="2"/>
  <c r="I637" i="2"/>
  <c r="I634" i="2"/>
  <c r="I635" i="2"/>
  <c r="I636" i="2"/>
  <c r="I633" i="2"/>
  <c r="I630" i="2"/>
  <c r="I631" i="2"/>
  <c r="I632" i="2"/>
  <c r="I629" i="2"/>
  <c r="I626" i="2"/>
  <c r="I627" i="2"/>
  <c r="I628" i="2"/>
  <c r="I625" i="2"/>
  <c r="I622" i="2"/>
  <c r="I623" i="2"/>
  <c r="I624" i="2"/>
  <c r="I621" i="2"/>
  <c r="I618" i="2"/>
  <c r="I619" i="2"/>
  <c r="I620" i="2"/>
  <c r="I617" i="2"/>
  <c r="I614" i="2"/>
  <c r="I615" i="2"/>
  <c r="I616" i="2"/>
  <c r="I613" i="2"/>
  <c r="I610" i="2"/>
  <c r="I611" i="2"/>
  <c r="I612" i="2"/>
  <c r="I609" i="2"/>
  <c r="I606" i="2"/>
  <c r="I607" i="2"/>
  <c r="I608" i="2"/>
  <c r="I605" i="2"/>
  <c r="I602" i="2"/>
  <c r="I603" i="2"/>
  <c r="I604" i="2"/>
  <c r="I601" i="2"/>
  <c r="I598" i="2"/>
  <c r="I599" i="2"/>
  <c r="I600" i="2"/>
  <c r="I597" i="2"/>
  <c r="I594" i="2"/>
  <c r="I595" i="2"/>
  <c r="I596" i="2"/>
  <c r="I593" i="2"/>
  <c r="I590" i="2"/>
  <c r="I591" i="2"/>
  <c r="I592" i="2"/>
  <c r="I589" i="2"/>
  <c r="I586" i="2"/>
  <c r="I587" i="2"/>
  <c r="I588" i="2"/>
  <c r="I585" i="2"/>
  <c r="I578" i="2"/>
  <c r="I579" i="2"/>
  <c r="I580" i="2"/>
  <c r="I577" i="2"/>
  <c r="I574" i="2"/>
  <c r="I575" i="2"/>
  <c r="I576" i="2"/>
  <c r="I570" i="2"/>
  <c r="I571" i="2"/>
  <c r="I572" i="2"/>
  <c r="I569" i="2"/>
  <c r="I566" i="2"/>
  <c r="I567" i="2"/>
  <c r="I568" i="2"/>
  <c r="I565" i="2"/>
  <c r="I563" i="2"/>
  <c r="I564" i="2"/>
  <c r="I561" i="2"/>
  <c r="I558" i="2"/>
  <c r="I559" i="2"/>
  <c r="I560" i="2"/>
  <c r="I554" i="2"/>
  <c r="I555" i="2"/>
  <c r="I556" i="2"/>
  <c r="I553" i="2"/>
  <c r="I550" i="2"/>
  <c r="I551" i="2"/>
  <c r="I552" i="2"/>
  <c r="I549" i="2"/>
  <c r="I546" i="2"/>
  <c r="I547" i="2"/>
  <c r="I548" i="2"/>
  <c r="I545" i="2"/>
  <c r="I542" i="2"/>
  <c r="I543" i="2"/>
  <c r="I544" i="2"/>
  <c r="I541" i="2"/>
  <c r="I538" i="2"/>
  <c r="I540" i="2"/>
  <c r="I537" i="2"/>
  <c r="I534" i="2"/>
  <c r="I535" i="2"/>
  <c r="I536" i="2"/>
  <c r="I533" i="2"/>
  <c r="I530" i="2"/>
  <c r="I531" i="2"/>
  <c r="I532" i="2"/>
  <c r="I529" i="2"/>
  <c r="I526" i="2"/>
  <c r="I527" i="2"/>
  <c r="I528" i="2"/>
  <c r="I525" i="2"/>
  <c r="I522" i="2"/>
  <c r="I523" i="2"/>
  <c r="I524" i="2"/>
  <c r="I521" i="2"/>
  <c r="I518" i="2"/>
  <c r="I519" i="2"/>
  <c r="I520" i="2"/>
  <c r="I517" i="2"/>
  <c r="I514" i="2"/>
  <c r="I515" i="2"/>
  <c r="I516" i="2"/>
  <c r="I513" i="2"/>
  <c r="I510" i="2"/>
  <c r="I511" i="2"/>
  <c r="I512" i="2"/>
  <c r="I509" i="2"/>
  <c r="I506" i="2"/>
  <c r="I507" i="2"/>
  <c r="I508" i="2"/>
  <c r="I505" i="2"/>
  <c r="I502" i="2"/>
  <c r="I503" i="2"/>
  <c r="I504" i="2"/>
  <c r="I501" i="2"/>
  <c r="I500" i="2"/>
  <c r="I498" i="2"/>
  <c r="I499" i="2"/>
  <c r="I497" i="2"/>
  <c r="I494" i="2"/>
  <c r="I495" i="2"/>
  <c r="I496" i="2"/>
  <c r="I490" i="2"/>
  <c r="I491" i="2"/>
  <c r="I492" i="2"/>
  <c r="I489" i="2"/>
  <c r="I486" i="2"/>
  <c r="I487" i="2"/>
  <c r="I488" i="2"/>
  <c r="I485" i="2"/>
  <c r="I482" i="2"/>
  <c r="I483" i="2"/>
  <c r="I484" i="2"/>
  <c r="I481" i="2"/>
  <c r="I478" i="2"/>
  <c r="I479" i="2"/>
  <c r="I480" i="2"/>
  <c r="I477" i="2"/>
  <c r="I475" i="2"/>
  <c r="I476" i="2"/>
  <c r="I473" i="2"/>
  <c r="I470" i="2"/>
  <c r="I471" i="2"/>
  <c r="I472" i="2"/>
  <c r="I469" i="2"/>
  <c r="I466" i="2"/>
  <c r="I467" i="2"/>
  <c r="I468" i="2"/>
  <c r="I465" i="2"/>
  <c r="I462" i="2"/>
  <c r="I463" i="2"/>
  <c r="I464" i="2"/>
  <c r="I461" i="2"/>
  <c r="I458" i="2"/>
  <c r="I459" i="2"/>
  <c r="I460" i="2"/>
  <c r="I457" i="2"/>
  <c r="I454" i="2"/>
  <c r="I455" i="2"/>
  <c r="I456" i="2"/>
  <c r="I453" i="2"/>
  <c r="I450" i="2"/>
  <c r="I451" i="2"/>
  <c r="I452" i="2"/>
  <c r="I449" i="2"/>
  <c r="I446" i="2"/>
  <c r="I447" i="2"/>
  <c r="I448" i="2"/>
  <c r="I445" i="2"/>
  <c r="I442" i="2"/>
  <c r="I443" i="2"/>
  <c r="I444" i="2"/>
  <c r="I441" i="2"/>
  <c r="I438" i="2"/>
  <c r="I439" i="2"/>
  <c r="I440" i="2"/>
  <c r="I437" i="2"/>
  <c r="I434" i="2"/>
  <c r="I435" i="2"/>
  <c r="I436" i="2"/>
  <c r="I433" i="2"/>
  <c r="I430" i="2"/>
  <c r="I431" i="2"/>
  <c r="I426" i="2"/>
  <c r="I427" i="2"/>
  <c r="I428" i="2"/>
  <c r="I425" i="2"/>
  <c r="I420" i="2"/>
  <c r="I422" i="2"/>
  <c r="I423" i="2"/>
  <c r="I424" i="2"/>
  <c r="I421" i="2"/>
  <c r="I418" i="2"/>
  <c r="I419" i="2"/>
  <c r="I417" i="2"/>
  <c r="I414" i="2"/>
  <c r="I415" i="2"/>
  <c r="I416" i="2"/>
  <c r="I413" i="2"/>
  <c r="I410" i="2"/>
  <c r="I411" i="2"/>
  <c r="I412" i="2"/>
  <c r="I409" i="2"/>
  <c r="I406" i="2"/>
  <c r="I407" i="2"/>
  <c r="I408" i="2"/>
  <c r="I405" i="2"/>
  <c r="I402" i="2"/>
  <c r="I403" i="2"/>
  <c r="I404" i="2"/>
  <c r="I401" i="2"/>
  <c r="I398" i="2"/>
  <c r="I399" i="2"/>
  <c r="I400" i="2"/>
  <c r="I397" i="2"/>
  <c r="I394" i="2"/>
  <c r="I395" i="2"/>
  <c r="I396" i="2"/>
  <c r="I393" i="2"/>
  <c r="I390" i="2"/>
  <c r="I391" i="2"/>
  <c r="I392" i="2"/>
  <c r="I389" i="2"/>
  <c r="I386" i="2"/>
  <c r="I387" i="2"/>
  <c r="I388" i="2"/>
  <c r="I385" i="2"/>
  <c r="I382" i="2"/>
  <c r="I383" i="2"/>
  <c r="I384" i="2"/>
  <c r="I381" i="2"/>
  <c r="I378" i="2"/>
  <c r="I379" i="2"/>
  <c r="I380" i="2"/>
  <c r="I377" i="2"/>
  <c r="I374" i="2"/>
  <c r="I375" i="2"/>
  <c r="I376" i="2"/>
  <c r="I373" i="2"/>
  <c r="I370" i="2"/>
  <c r="I371" i="2"/>
  <c r="I372" i="2"/>
  <c r="I369" i="2"/>
  <c r="I366" i="2"/>
  <c r="I367" i="2"/>
  <c r="I368" i="2"/>
  <c r="I365" i="2"/>
  <c r="I362" i="2"/>
  <c r="I363" i="2"/>
  <c r="I364" i="2"/>
  <c r="I361" i="2"/>
  <c r="I360" i="2"/>
  <c r="I358" i="2"/>
  <c r="I359" i="2"/>
  <c r="I357" i="2"/>
  <c r="I354" i="2"/>
  <c r="I355" i="2"/>
  <c r="I356" i="2"/>
  <c r="I353" i="2"/>
  <c r="I350" i="2"/>
  <c r="I351" i="2"/>
  <c r="I352" i="2"/>
  <c r="I349" i="2"/>
  <c r="I346" i="2"/>
  <c r="I347" i="2"/>
  <c r="I348" i="2"/>
  <c r="I345" i="2"/>
  <c r="I342" i="2"/>
  <c r="I343" i="2"/>
  <c r="I344" i="2"/>
  <c r="I341" i="2"/>
  <c r="I338" i="2"/>
  <c r="I339" i="2"/>
  <c r="I340" i="2"/>
  <c r="I337" i="2"/>
  <c r="I334" i="2"/>
  <c r="I335" i="2"/>
  <c r="I336" i="2"/>
  <c r="I333" i="2"/>
  <c r="I330" i="2"/>
  <c r="I331" i="2"/>
  <c r="I332" i="2"/>
  <c r="I329" i="2"/>
  <c r="I326" i="2"/>
  <c r="I327" i="2"/>
  <c r="I328" i="2"/>
  <c r="I325" i="2"/>
  <c r="I322" i="2"/>
  <c r="I323" i="2"/>
  <c r="I324" i="2"/>
  <c r="I321" i="2"/>
  <c r="I318" i="2"/>
  <c r="I319" i="2"/>
  <c r="I320" i="2"/>
  <c r="I317" i="2"/>
  <c r="I314" i="2"/>
  <c r="I316" i="2"/>
  <c r="I313" i="2"/>
  <c r="I310" i="2"/>
  <c r="I311" i="2"/>
  <c r="I309" i="2"/>
  <c r="I306" i="2"/>
  <c r="I307" i="2"/>
  <c r="I308" i="2"/>
  <c r="I305" i="2"/>
  <c r="I301" i="2"/>
  <c r="I302" i="2"/>
  <c r="I303" i="2"/>
  <c r="I304" i="2"/>
  <c r="I298" i="2"/>
  <c r="I299" i="2"/>
  <c r="I300" i="2"/>
  <c r="I297" i="2"/>
  <c r="I294" i="2"/>
  <c r="I295" i="2"/>
  <c r="I296" i="2"/>
  <c r="I293" i="2"/>
  <c r="I290" i="2"/>
  <c r="I291" i="2"/>
  <c r="I292" i="2"/>
  <c r="I289" i="2"/>
  <c r="I286" i="2"/>
  <c r="I287" i="2"/>
  <c r="I288" i="2"/>
  <c r="I285" i="2"/>
  <c r="I282" i="2"/>
  <c r="I283" i="2"/>
  <c r="I284" i="2"/>
  <c r="I281" i="2"/>
  <c r="I278" i="2"/>
  <c r="I279" i="2"/>
  <c r="I280" i="2"/>
  <c r="I277" i="2"/>
  <c r="I274" i="2"/>
  <c r="I275" i="2"/>
  <c r="I276" i="2"/>
  <c r="I270" i="2"/>
  <c r="I271" i="2"/>
  <c r="I272" i="2"/>
  <c r="I269" i="2"/>
  <c r="I266" i="2"/>
  <c r="I267" i="2"/>
  <c r="I268" i="2"/>
  <c r="I265" i="2"/>
  <c r="I262" i="2"/>
  <c r="I263" i="2"/>
  <c r="I264" i="2"/>
  <c r="I261" i="2"/>
  <c r="I258" i="2"/>
  <c r="I259" i="2"/>
  <c r="I260" i="2"/>
  <c r="I257" i="2"/>
  <c r="I254" i="2"/>
  <c r="I255" i="2"/>
  <c r="I256" i="2"/>
  <c r="I253" i="2"/>
  <c r="I250" i="2"/>
  <c r="I251" i="2"/>
  <c r="I252" i="2"/>
  <c r="I249" i="2"/>
  <c r="I246" i="2"/>
  <c r="I247" i="2"/>
  <c r="I248" i="2"/>
  <c r="I245" i="2"/>
  <c r="I242" i="2"/>
  <c r="I243" i="2"/>
  <c r="I244" i="2"/>
  <c r="I241" i="2"/>
  <c r="I238" i="2"/>
  <c r="I239" i="2"/>
  <c r="I240" i="2"/>
  <c r="I237" i="2"/>
  <c r="I234" i="2"/>
  <c r="I235" i="2"/>
  <c r="I236" i="2"/>
  <c r="I229" i="2"/>
  <c r="I227" i="2"/>
  <c r="I226" i="2"/>
  <c r="I225" i="2"/>
  <c r="I230" i="2"/>
  <c r="I231" i="2"/>
  <c r="I232" i="2"/>
  <c r="I222" i="2"/>
  <c r="I223" i="2"/>
  <c r="I224" i="2"/>
  <c r="I221" i="2"/>
  <c r="I218" i="2"/>
  <c r="I219" i="2"/>
  <c r="I220" i="2"/>
  <c r="I217" i="2"/>
  <c r="I214" i="2"/>
  <c r="I215" i="2"/>
  <c r="I216" i="2"/>
  <c r="I213" i="2"/>
  <c r="I210" i="2"/>
  <c r="I211" i="2"/>
  <c r="I212" i="2"/>
  <c r="I209" i="2"/>
  <c r="I206" i="2"/>
  <c r="I207" i="2"/>
  <c r="I208" i="2"/>
  <c r="I205" i="2"/>
  <c r="I202" i="2"/>
  <c r="I203" i="2"/>
  <c r="I204" i="2"/>
  <c r="I201" i="2"/>
  <c r="I198" i="2"/>
  <c r="I199" i="2"/>
  <c r="I200" i="2"/>
  <c r="I197" i="2"/>
  <c r="I194" i="2"/>
  <c r="I195" i="2"/>
  <c r="I196" i="2"/>
  <c r="I193" i="2"/>
  <c r="I190" i="2"/>
  <c r="I191" i="2"/>
  <c r="I192" i="2"/>
  <c r="I189" i="2"/>
  <c r="I186" i="2"/>
  <c r="I187" i="2"/>
  <c r="I188" i="2"/>
  <c r="I185" i="2"/>
  <c r="I182" i="2"/>
  <c r="I183" i="2"/>
  <c r="I184" i="2"/>
  <c r="I181" i="2"/>
  <c r="I178" i="2"/>
  <c r="I179" i="2"/>
  <c r="I180" i="2"/>
  <c r="I177" i="2"/>
  <c r="I174" i="2"/>
  <c r="I175" i="2"/>
  <c r="I176" i="2"/>
  <c r="I173" i="2"/>
  <c r="I170" i="2"/>
  <c r="I171" i="2"/>
  <c r="I172" i="2"/>
  <c r="I169" i="2"/>
  <c r="I164" i="2"/>
  <c r="I168" i="2"/>
  <c r="I167" i="2"/>
  <c r="I166" i="2"/>
  <c r="I165" i="2"/>
  <c r="I163" i="2"/>
  <c r="I162" i="2"/>
  <c r="I161" i="2"/>
  <c r="I159" i="2"/>
  <c r="I158" i="2"/>
  <c r="I157" i="2"/>
  <c r="I151" i="2"/>
  <c r="I150" i="2"/>
  <c r="I149" i="2"/>
  <c r="I147" i="2"/>
  <c r="I146" i="2"/>
  <c r="I145" i="2"/>
  <c r="I143" i="2"/>
  <c r="I142" i="2"/>
  <c r="I141" i="2"/>
  <c r="I139" i="2"/>
  <c r="I138" i="2"/>
  <c r="I137" i="2"/>
  <c r="I135" i="2"/>
  <c r="I134" i="2"/>
  <c r="I133" i="2"/>
  <c r="I131" i="2"/>
  <c r="I130" i="2"/>
  <c r="I129" i="2"/>
  <c r="I127" i="2"/>
  <c r="I126" i="2"/>
  <c r="I125" i="2"/>
  <c r="I123" i="2"/>
  <c r="I122" i="2"/>
  <c r="I121" i="2"/>
  <c r="I119" i="2"/>
  <c r="I118" i="2"/>
  <c r="I117" i="2"/>
  <c r="I115" i="2"/>
  <c r="I114" i="2"/>
  <c r="I113" i="2"/>
  <c r="I107" i="2"/>
  <c r="I106" i="2"/>
  <c r="I105" i="2"/>
  <c r="I103" i="2"/>
  <c r="I102" i="2"/>
  <c r="I101" i="2"/>
  <c r="I95" i="2"/>
  <c r="I94" i="2"/>
  <c r="I93" i="2"/>
  <c r="I91" i="2"/>
  <c r="I90" i="2"/>
  <c r="I89" i="2"/>
  <c r="I87" i="2"/>
  <c r="I86" i="2"/>
  <c r="I85" i="2"/>
  <c r="I83" i="2"/>
  <c r="I82" i="2"/>
  <c r="I81" i="2"/>
  <c r="I79" i="2"/>
  <c r="I78" i="2"/>
  <c r="I77" i="2"/>
  <c r="I75" i="2"/>
  <c r="I74" i="2"/>
  <c r="I73" i="2"/>
  <c r="I71" i="2"/>
  <c r="I70" i="2"/>
  <c r="I69" i="2"/>
  <c r="I67" i="2"/>
  <c r="I66" i="2"/>
  <c r="I65" i="2"/>
  <c r="I63" i="2"/>
  <c r="I62" i="2"/>
  <c r="I61" i="2"/>
  <c r="I55" i="2"/>
  <c r="I54" i="2"/>
  <c r="I53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5" i="2"/>
  <c r="L894" i="2"/>
  <c r="L745" i="2"/>
  <c r="L239" i="2"/>
  <c r="H7" i="2"/>
  <c r="H8" i="2"/>
  <c r="H9" i="2"/>
  <c r="H10" i="2"/>
  <c r="J10" i="2" s="1"/>
  <c r="H11" i="2"/>
  <c r="H12" i="2"/>
  <c r="H13" i="2"/>
  <c r="H14" i="2"/>
  <c r="J14" i="2" s="1"/>
  <c r="H15" i="2"/>
  <c r="H16" i="2"/>
  <c r="H17" i="2"/>
  <c r="H18" i="2"/>
  <c r="J18" i="2" s="1"/>
  <c r="H19" i="2"/>
  <c r="H20" i="2"/>
  <c r="H21" i="2"/>
  <c r="H22" i="2"/>
  <c r="J22" i="2" s="1"/>
  <c r="H23" i="2"/>
  <c r="H24" i="2"/>
  <c r="H25" i="2"/>
  <c r="J25" i="2" s="1"/>
  <c r="H26" i="2"/>
  <c r="J26" i="2" s="1"/>
  <c r="H27" i="2"/>
  <c r="J27" i="2" s="1"/>
  <c r="H30" i="2"/>
  <c r="J30" i="2" s="1"/>
  <c r="H31" i="2"/>
  <c r="J31" i="2" s="1"/>
  <c r="H32" i="2"/>
  <c r="J32" i="2" s="1"/>
  <c r="H33" i="2"/>
  <c r="H34" i="2"/>
  <c r="H35" i="2"/>
  <c r="H36" i="2"/>
  <c r="J36" i="2" s="1"/>
  <c r="H37" i="2"/>
  <c r="H38" i="2"/>
  <c r="H39" i="2"/>
  <c r="H40" i="2"/>
  <c r="J40" i="2" s="1"/>
  <c r="H41" i="2"/>
  <c r="H42" i="2"/>
  <c r="H43" i="2"/>
  <c r="H44" i="2"/>
  <c r="J44" i="2" s="1"/>
  <c r="H45" i="2"/>
  <c r="H46" i="2"/>
  <c r="H47" i="2"/>
  <c r="H48" i="2"/>
  <c r="J48" i="2" s="1"/>
  <c r="H49" i="2"/>
  <c r="H50" i="2"/>
  <c r="H51" i="2"/>
  <c r="H52" i="2"/>
  <c r="J52" i="2" s="1"/>
  <c r="H53" i="2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H62" i="2"/>
  <c r="H63" i="2"/>
  <c r="H64" i="2"/>
  <c r="J64" i="2" s="1"/>
  <c r="H65" i="2"/>
  <c r="J65" i="2" s="1"/>
  <c r="H66" i="2"/>
  <c r="H67" i="2"/>
  <c r="J67" i="2" s="1"/>
  <c r="H68" i="2"/>
  <c r="J68" i="2" s="1"/>
  <c r="H69" i="2"/>
  <c r="H70" i="2"/>
  <c r="H71" i="2"/>
  <c r="H72" i="2"/>
  <c r="J72" i="2" s="1"/>
  <c r="H73" i="2"/>
  <c r="H74" i="2"/>
  <c r="J74" i="2" s="1"/>
  <c r="H75" i="2"/>
  <c r="J75" i="2" s="1"/>
  <c r="H76" i="2"/>
  <c r="J76" i="2" s="1"/>
  <c r="H77" i="2"/>
  <c r="H78" i="2"/>
  <c r="H79" i="2"/>
  <c r="H80" i="2"/>
  <c r="J80" i="2" s="1"/>
  <c r="H81" i="2"/>
  <c r="J81" i="2" s="1"/>
  <c r="H82" i="2"/>
  <c r="H83" i="2"/>
  <c r="J83" i="2" s="1"/>
  <c r="H84" i="2"/>
  <c r="J84" i="2" s="1"/>
  <c r="H85" i="2"/>
  <c r="H86" i="2"/>
  <c r="H87" i="2"/>
  <c r="H88" i="2"/>
  <c r="J88" i="2" s="1"/>
  <c r="H89" i="2"/>
  <c r="H90" i="2"/>
  <c r="J90" i="2" s="1"/>
  <c r="H91" i="2"/>
  <c r="J91" i="2" s="1"/>
  <c r="H92" i="2"/>
  <c r="J92" i="2" s="1"/>
  <c r="H93" i="2"/>
  <c r="H94" i="2"/>
  <c r="H95" i="2"/>
  <c r="H96" i="2"/>
  <c r="J96" i="2" s="1"/>
  <c r="H98" i="2"/>
  <c r="J98" i="2" s="1"/>
  <c r="H99" i="2"/>
  <c r="J99" i="2" s="1"/>
  <c r="H100" i="2"/>
  <c r="J100" i="2" s="1"/>
  <c r="H101" i="2"/>
  <c r="J101" i="2" s="1"/>
  <c r="H102" i="2"/>
  <c r="H103" i="2"/>
  <c r="H104" i="2"/>
  <c r="J104" i="2" s="1"/>
  <c r="H105" i="2"/>
  <c r="J105" i="2" s="1"/>
  <c r="H106" i="2"/>
  <c r="J106" i="2" s="1"/>
  <c r="H107" i="2"/>
  <c r="H108" i="2"/>
  <c r="J108" i="2" s="1"/>
  <c r="H109" i="2"/>
  <c r="J109" i="2" s="1"/>
  <c r="H110" i="2"/>
  <c r="J110" i="2" s="1"/>
  <c r="H111" i="2"/>
  <c r="J111" i="2" s="1"/>
  <c r="H113" i="2"/>
  <c r="J113" i="2" s="1"/>
  <c r="H114" i="2"/>
  <c r="J114" i="2" s="1"/>
  <c r="H115" i="2"/>
  <c r="J115" i="2" s="1"/>
  <c r="H116" i="2"/>
  <c r="J116" i="2" s="1"/>
  <c r="H117" i="2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H124" i="2"/>
  <c r="J124" i="2" s="1"/>
  <c r="H125" i="2"/>
  <c r="J125" i="2" s="1"/>
  <c r="H126" i="2"/>
  <c r="J126" i="2" s="1"/>
  <c r="H127" i="2"/>
  <c r="H128" i="2"/>
  <c r="J128" i="2" s="1"/>
  <c r="H129" i="2"/>
  <c r="J129" i="2" s="1"/>
  <c r="H130" i="2"/>
  <c r="J130" i="2" s="1"/>
  <c r="H131" i="2"/>
  <c r="J131" i="2" s="1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3" i="2"/>
  <c r="J153" i="2" s="1"/>
  <c r="H155" i="2"/>
  <c r="J155" i="2" s="1"/>
  <c r="H156" i="2"/>
  <c r="J156" i="2" s="1"/>
  <c r="H157" i="2"/>
  <c r="H158" i="2"/>
  <c r="J158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H166" i="2"/>
  <c r="J166" i="2" s="1"/>
  <c r="H167" i="2"/>
  <c r="J167" i="2" s="1"/>
  <c r="H168" i="2"/>
  <c r="J168" i="2" s="1"/>
  <c r="H169" i="2"/>
  <c r="J169" i="2" s="1"/>
  <c r="H170" i="2"/>
  <c r="J170" i="2" s="1"/>
  <c r="H171" i="2"/>
  <c r="J171" i="2" s="1"/>
  <c r="H172" i="2"/>
  <c r="J172" i="2" s="1"/>
  <c r="H173" i="2"/>
  <c r="J173" i="2" s="1"/>
  <c r="H174" i="2"/>
  <c r="J174" i="2" s="1"/>
  <c r="H175" i="2"/>
  <c r="J175" i="2" s="1"/>
  <c r="H176" i="2"/>
  <c r="J176" i="2" s="1"/>
  <c r="H177" i="2"/>
  <c r="J177" i="2" s="1"/>
  <c r="H178" i="2"/>
  <c r="J178" i="2" s="1"/>
  <c r="H179" i="2"/>
  <c r="J179" i="2" s="1"/>
  <c r="H180" i="2"/>
  <c r="J180" i="2" s="1"/>
  <c r="H181" i="2"/>
  <c r="J181" i="2" s="1"/>
  <c r="H182" i="2"/>
  <c r="J182" i="2" s="1"/>
  <c r="H183" i="2"/>
  <c r="J183" i="2" s="1"/>
  <c r="H184" i="2"/>
  <c r="J184" i="2" s="1"/>
  <c r="H185" i="2"/>
  <c r="J185" i="2" s="1"/>
  <c r="H186" i="2"/>
  <c r="J186" i="2" s="1"/>
  <c r="H187" i="2"/>
  <c r="J187" i="2" s="1"/>
  <c r="H188" i="2"/>
  <c r="J188" i="2" s="1"/>
  <c r="H189" i="2"/>
  <c r="J189" i="2" s="1"/>
  <c r="H190" i="2"/>
  <c r="J190" i="2" s="1"/>
  <c r="H191" i="2"/>
  <c r="J191" i="2" s="1"/>
  <c r="H192" i="2"/>
  <c r="J192" i="2" s="1"/>
  <c r="H193" i="2"/>
  <c r="J193" i="2" s="1"/>
  <c r="H194" i="2"/>
  <c r="J194" i="2" s="1"/>
  <c r="H195" i="2"/>
  <c r="J195" i="2" s="1"/>
  <c r="H196" i="2"/>
  <c r="J196" i="2" s="1"/>
  <c r="H197" i="2"/>
  <c r="J197" i="2" s="1"/>
  <c r="H198" i="2"/>
  <c r="J198" i="2" s="1"/>
  <c r="H199" i="2"/>
  <c r="J199" i="2" s="1"/>
  <c r="H200" i="2"/>
  <c r="J200" i="2" s="1"/>
  <c r="H201" i="2"/>
  <c r="J201" i="2" s="1"/>
  <c r="H202" i="2"/>
  <c r="J202" i="2" s="1"/>
  <c r="H203" i="2"/>
  <c r="J203" i="2" s="1"/>
  <c r="H204" i="2"/>
  <c r="J204" i="2" s="1"/>
  <c r="H205" i="2"/>
  <c r="J205" i="2" s="1"/>
  <c r="H206" i="2"/>
  <c r="J206" i="2" s="1"/>
  <c r="H207" i="2"/>
  <c r="J207" i="2" s="1"/>
  <c r="H208" i="2"/>
  <c r="J208" i="2" s="1"/>
  <c r="H209" i="2"/>
  <c r="J209" i="2" s="1"/>
  <c r="H210" i="2"/>
  <c r="J210" i="2" s="1"/>
  <c r="H211" i="2"/>
  <c r="J211" i="2" s="1"/>
  <c r="H212" i="2"/>
  <c r="J212" i="2" s="1"/>
  <c r="H213" i="2"/>
  <c r="J213" i="2" s="1"/>
  <c r="H214" i="2"/>
  <c r="J214" i="2" s="1"/>
  <c r="H215" i="2"/>
  <c r="J215" i="2" s="1"/>
  <c r="H216" i="2"/>
  <c r="J216" i="2" s="1"/>
  <c r="H217" i="2"/>
  <c r="J217" i="2" s="1"/>
  <c r="H218" i="2"/>
  <c r="J218" i="2" s="1"/>
  <c r="H219" i="2"/>
  <c r="J219" i="2" s="1"/>
  <c r="H220" i="2"/>
  <c r="J220" i="2" s="1"/>
  <c r="H221" i="2"/>
  <c r="J221" i="2" s="1"/>
  <c r="H222" i="2"/>
  <c r="J222" i="2" s="1"/>
  <c r="H223" i="2"/>
  <c r="J223" i="2" s="1"/>
  <c r="H224" i="2"/>
  <c r="J224" i="2" s="1"/>
  <c r="H225" i="2"/>
  <c r="H226" i="2"/>
  <c r="J226" i="2" s="1"/>
  <c r="H227" i="2"/>
  <c r="J227" i="2" s="1"/>
  <c r="H229" i="2"/>
  <c r="J229" i="2" s="1"/>
  <c r="H230" i="2"/>
  <c r="H231" i="2"/>
  <c r="J231" i="2" s="1"/>
  <c r="H232" i="2"/>
  <c r="J232" i="2" s="1"/>
  <c r="H234" i="2"/>
  <c r="J234" i="2" s="1"/>
  <c r="H235" i="2"/>
  <c r="J235" i="2" s="1"/>
  <c r="H236" i="2"/>
  <c r="J236" i="2" s="1"/>
  <c r="H237" i="2"/>
  <c r="J237" i="2" s="1"/>
  <c r="H238" i="2"/>
  <c r="J238" i="2" s="1"/>
  <c r="H239" i="2"/>
  <c r="J239" i="2" s="1"/>
  <c r="H240" i="2"/>
  <c r="J240" i="2" s="1"/>
  <c r="H241" i="2"/>
  <c r="J241" i="2" s="1"/>
  <c r="H242" i="2"/>
  <c r="J242" i="2" s="1"/>
  <c r="H243" i="2"/>
  <c r="J243" i="2" s="1"/>
  <c r="H244" i="2"/>
  <c r="J244" i="2" s="1"/>
  <c r="H245" i="2"/>
  <c r="J245" i="2" s="1"/>
  <c r="H246" i="2"/>
  <c r="J246" i="2" s="1"/>
  <c r="H247" i="2"/>
  <c r="J247" i="2" s="1"/>
  <c r="H248" i="2"/>
  <c r="J248" i="2" s="1"/>
  <c r="H249" i="2"/>
  <c r="J249" i="2" s="1"/>
  <c r="H250" i="2"/>
  <c r="J250" i="2" s="1"/>
  <c r="H251" i="2"/>
  <c r="J251" i="2" s="1"/>
  <c r="H252" i="2"/>
  <c r="J252" i="2" s="1"/>
  <c r="H253" i="2"/>
  <c r="J253" i="2" s="1"/>
  <c r="H254" i="2"/>
  <c r="J254" i="2" s="1"/>
  <c r="H255" i="2"/>
  <c r="J255" i="2" s="1"/>
  <c r="H256" i="2"/>
  <c r="J256" i="2" s="1"/>
  <c r="H257" i="2"/>
  <c r="J257" i="2" s="1"/>
  <c r="H258" i="2"/>
  <c r="J258" i="2" s="1"/>
  <c r="H259" i="2"/>
  <c r="J259" i="2" s="1"/>
  <c r="H260" i="2"/>
  <c r="J260" i="2" s="1"/>
  <c r="H261" i="2"/>
  <c r="J261" i="2" s="1"/>
  <c r="H262" i="2"/>
  <c r="J262" i="2" s="1"/>
  <c r="H263" i="2"/>
  <c r="J263" i="2" s="1"/>
  <c r="H264" i="2"/>
  <c r="J264" i="2" s="1"/>
  <c r="H265" i="2"/>
  <c r="J265" i="2" s="1"/>
  <c r="H266" i="2"/>
  <c r="J266" i="2" s="1"/>
  <c r="H267" i="2"/>
  <c r="J267" i="2" s="1"/>
  <c r="H268" i="2"/>
  <c r="J268" i="2" s="1"/>
  <c r="H269" i="2"/>
  <c r="J269" i="2" s="1"/>
  <c r="H270" i="2"/>
  <c r="J270" i="2" s="1"/>
  <c r="H271" i="2"/>
  <c r="J271" i="2" s="1"/>
  <c r="H272" i="2"/>
  <c r="J272" i="2" s="1"/>
  <c r="H274" i="2"/>
  <c r="J274" i="2" s="1"/>
  <c r="H275" i="2"/>
  <c r="J275" i="2" s="1"/>
  <c r="H276" i="2"/>
  <c r="H277" i="2"/>
  <c r="J277" i="2" s="1"/>
  <c r="H278" i="2"/>
  <c r="J278" i="2" s="1"/>
  <c r="H279" i="2"/>
  <c r="J279" i="2" s="1"/>
  <c r="H280" i="2"/>
  <c r="H281" i="2"/>
  <c r="J281" i="2" s="1"/>
  <c r="H282" i="2"/>
  <c r="J282" i="2" s="1"/>
  <c r="H283" i="2"/>
  <c r="J283" i="2" s="1"/>
  <c r="H284" i="2"/>
  <c r="H285" i="2"/>
  <c r="J285" i="2" s="1"/>
  <c r="H286" i="2"/>
  <c r="J286" i="2" s="1"/>
  <c r="H287" i="2"/>
  <c r="J287" i="2" s="1"/>
  <c r="H288" i="2"/>
  <c r="H289" i="2"/>
  <c r="J289" i="2" s="1"/>
  <c r="H290" i="2"/>
  <c r="J290" i="2" s="1"/>
  <c r="H291" i="2"/>
  <c r="J291" i="2" s="1"/>
  <c r="H292" i="2"/>
  <c r="H293" i="2"/>
  <c r="J293" i="2" s="1"/>
  <c r="H294" i="2"/>
  <c r="J294" i="2" s="1"/>
  <c r="H295" i="2"/>
  <c r="J295" i="2" s="1"/>
  <c r="H296" i="2"/>
  <c r="H297" i="2"/>
  <c r="J297" i="2" s="1"/>
  <c r="H298" i="2"/>
  <c r="J298" i="2" s="1"/>
  <c r="H299" i="2"/>
  <c r="J299" i="2" s="1"/>
  <c r="H300" i="2"/>
  <c r="H301" i="2"/>
  <c r="J301" i="2" s="1"/>
  <c r="H302" i="2"/>
  <c r="J302" i="2" s="1"/>
  <c r="H303" i="2"/>
  <c r="J303" i="2" s="1"/>
  <c r="H304" i="2"/>
  <c r="J304" i="2" s="1"/>
  <c r="H305" i="2"/>
  <c r="J305" i="2" s="1"/>
  <c r="H306" i="2"/>
  <c r="J306" i="2" s="1"/>
  <c r="H307" i="2"/>
  <c r="J307" i="2" s="1"/>
  <c r="H308" i="2"/>
  <c r="H309" i="2"/>
  <c r="J309" i="2" s="1"/>
  <c r="H310" i="2"/>
  <c r="J310" i="2" s="1"/>
  <c r="H311" i="2"/>
  <c r="J311" i="2" s="1"/>
  <c r="H313" i="2"/>
  <c r="J313" i="2" s="1"/>
  <c r="H314" i="2"/>
  <c r="J314" i="2" s="1"/>
  <c r="H316" i="2"/>
  <c r="J316" i="2" s="1"/>
  <c r="H317" i="2"/>
  <c r="J317" i="2" s="1"/>
  <c r="H318" i="2"/>
  <c r="H319" i="2"/>
  <c r="J319" i="2" s="1"/>
  <c r="H320" i="2"/>
  <c r="J320" i="2" s="1"/>
  <c r="H321" i="2"/>
  <c r="J321" i="2" s="1"/>
  <c r="H322" i="2"/>
  <c r="H323" i="2"/>
  <c r="J323" i="2" s="1"/>
  <c r="H324" i="2"/>
  <c r="J324" i="2" s="1"/>
  <c r="H325" i="2"/>
  <c r="J325" i="2" s="1"/>
  <c r="H326" i="2"/>
  <c r="H327" i="2"/>
  <c r="J327" i="2" s="1"/>
  <c r="H328" i="2"/>
  <c r="J328" i="2" s="1"/>
  <c r="H329" i="2"/>
  <c r="J329" i="2" s="1"/>
  <c r="H330" i="2"/>
  <c r="H331" i="2"/>
  <c r="J331" i="2" s="1"/>
  <c r="H332" i="2"/>
  <c r="J332" i="2" s="1"/>
  <c r="H333" i="2"/>
  <c r="J333" i="2" s="1"/>
  <c r="H334" i="2"/>
  <c r="J334" i="2" s="1"/>
  <c r="H335" i="2"/>
  <c r="J335" i="2" s="1"/>
  <c r="H336" i="2"/>
  <c r="J336" i="2" s="1"/>
  <c r="H337" i="2"/>
  <c r="J337" i="2" s="1"/>
  <c r="H338" i="2"/>
  <c r="J338" i="2" s="1"/>
  <c r="H339" i="2"/>
  <c r="J339" i="2" s="1"/>
  <c r="H340" i="2"/>
  <c r="J340" i="2" s="1"/>
  <c r="H341" i="2"/>
  <c r="J341" i="2" s="1"/>
  <c r="H342" i="2"/>
  <c r="J342" i="2" s="1"/>
  <c r="H343" i="2"/>
  <c r="J343" i="2" s="1"/>
  <c r="H344" i="2"/>
  <c r="J344" i="2" s="1"/>
  <c r="H345" i="2"/>
  <c r="J345" i="2" s="1"/>
  <c r="H346" i="2"/>
  <c r="J346" i="2" s="1"/>
  <c r="H347" i="2"/>
  <c r="J347" i="2" s="1"/>
  <c r="H348" i="2"/>
  <c r="J348" i="2" s="1"/>
  <c r="H349" i="2"/>
  <c r="J349" i="2" s="1"/>
  <c r="H350" i="2"/>
  <c r="J350" i="2" s="1"/>
  <c r="H351" i="2"/>
  <c r="J351" i="2" s="1"/>
  <c r="H352" i="2"/>
  <c r="J352" i="2" s="1"/>
  <c r="H353" i="2"/>
  <c r="J353" i="2" s="1"/>
  <c r="H354" i="2"/>
  <c r="J354" i="2" s="1"/>
  <c r="H355" i="2"/>
  <c r="J355" i="2" s="1"/>
  <c r="H356" i="2"/>
  <c r="J356" i="2" s="1"/>
  <c r="H357" i="2"/>
  <c r="J357" i="2" s="1"/>
  <c r="H358" i="2"/>
  <c r="J358" i="2" s="1"/>
  <c r="H359" i="2"/>
  <c r="J359" i="2" s="1"/>
  <c r="H360" i="2"/>
  <c r="J360" i="2" s="1"/>
  <c r="H361" i="2"/>
  <c r="J361" i="2" s="1"/>
  <c r="H362" i="2"/>
  <c r="J362" i="2" s="1"/>
  <c r="H363" i="2"/>
  <c r="J363" i="2" s="1"/>
  <c r="H364" i="2"/>
  <c r="J364" i="2" s="1"/>
  <c r="H365" i="2"/>
  <c r="J365" i="2" s="1"/>
  <c r="H366" i="2"/>
  <c r="J366" i="2" s="1"/>
  <c r="H367" i="2"/>
  <c r="J367" i="2" s="1"/>
  <c r="H368" i="2"/>
  <c r="J368" i="2" s="1"/>
  <c r="H369" i="2"/>
  <c r="J369" i="2" s="1"/>
  <c r="H370" i="2"/>
  <c r="J370" i="2" s="1"/>
  <c r="H371" i="2"/>
  <c r="J371" i="2" s="1"/>
  <c r="H372" i="2"/>
  <c r="J372" i="2" s="1"/>
  <c r="H373" i="2"/>
  <c r="J373" i="2" s="1"/>
  <c r="H374" i="2"/>
  <c r="J374" i="2" s="1"/>
  <c r="H375" i="2"/>
  <c r="J375" i="2" s="1"/>
  <c r="H376" i="2"/>
  <c r="J376" i="2" s="1"/>
  <c r="H377" i="2"/>
  <c r="J377" i="2" s="1"/>
  <c r="H378" i="2"/>
  <c r="J378" i="2" s="1"/>
  <c r="H379" i="2"/>
  <c r="J379" i="2" s="1"/>
  <c r="H380" i="2"/>
  <c r="J380" i="2" s="1"/>
  <c r="H381" i="2"/>
  <c r="J381" i="2" s="1"/>
  <c r="H382" i="2"/>
  <c r="J382" i="2" s="1"/>
  <c r="H383" i="2"/>
  <c r="J383" i="2" s="1"/>
  <c r="H384" i="2"/>
  <c r="J384" i="2" s="1"/>
  <c r="H385" i="2"/>
  <c r="J385" i="2" s="1"/>
  <c r="H386" i="2"/>
  <c r="J386" i="2" s="1"/>
  <c r="H387" i="2"/>
  <c r="J387" i="2" s="1"/>
  <c r="H388" i="2"/>
  <c r="J388" i="2" s="1"/>
  <c r="H389" i="2"/>
  <c r="J389" i="2" s="1"/>
  <c r="H390" i="2"/>
  <c r="J390" i="2" s="1"/>
  <c r="H391" i="2"/>
  <c r="J391" i="2" s="1"/>
  <c r="H392" i="2"/>
  <c r="J392" i="2" s="1"/>
  <c r="H393" i="2"/>
  <c r="J393" i="2" s="1"/>
  <c r="H394" i="2"/>
  <c r="J394" i="2" s="1"/>
  <c r="H395" i="2"/>
  <c r="J395" i="2" s="1"/>
  <c r="H396" i="2"/>
  <c r="J396" i="2" s="1"/>
  <c r="H397" i="2"/>
  <c r="J397" i="2" s="1"/>
  <c r="H398" i="2"/>
  <c r="J398" i="2" s="1"/>
  <c r="H399" i="2"/>
  <c r="J399" i="2" s="1"/>
  <c r="H400" i="2"/>
  <c r="J400" i="2" s="1"/>
  <c r="H401" i="2"/>
  <c r="J401" i="2" s="1"/>
  <c r="H402" i="2"/>
  <c r="J402" i="2" s="1"/>
  <c r="H403" i="2"/>
  <c r="J403" i="2" s="1"/>
  <c r="H404" i="2"/>
  <c r="J404" i="2" s="1"/>
  <c r="H405" i="2"/>
  <c r="J405" i="2" s="1"/>
  <c r="H406" i="2"/>
  <c r="J406" i="2" s="1"/>
  <c r="H407" i="2"/>
  <c r="J407" i="2" s="1"/>
  <c r="H408" i="2"/>
  <c r="J408" i="2" s="1"/>
  <c r="H409" i="2"/>
  <c r="J409" i="2" s="1"/>
  <c r="H410" i="2"/>
  <c r="J410" i="2" s="1"/>
  <c r="H411" i="2"/>
  <c r="J411" i="2" s="1"/>
  <c r="H412" i="2"/>
  <c r="J412" i="2" s="1"/>
  <c r="H413" i="2"/>
  <c r="J413" i="2" s="1"/>
  <c r="H414" i="2"/>
  <c r="J414" i="2" s="1"/>
  <c r="H415" i="2"/>
  <c r="J415" i="2" s="1"/>
  <c r="H416" i="2"/>
  <c r="J416" i="2" s="1"/>
  <c r="H417" i="2"/>
  <c r="J417" i="2" s="1"/>
  <c r="H418" i="2"/>
  <c r="J418" i="2" s="1"/>
  <c r="H419" i="2"/>
  <c r="J419" i="2" s="1"/>
  <c r="H420" i="2"/>
  <c r="J420" i="2" s="1"/>
  <c r="H421" i="2"/>
  <c r="J421" i="2" s="1"/>
  <c r="H422" i="2"/>
  <c r="J422" i="2" s="1"/>
  <c r="H423" i="2"/>
  <c r="J423" i="2" s="1"/>
  <c r="H424" i="2"/>
  <c r="J424" i="2" s="1"/>
  <c r="H425" i="2"/>
  <c r="J425" i="2" s="1"/>
  <c r="H426" i="2"/>
  <c r="J426" i="2" s="1"/>
  <c r="H427" i="2"/>
  <c r="J427" i="2" s="1"/>
  <c r="H428" i="2"/>
  <c r="J428" i="2" s="1"/>
  <c r="H430" i="2"/>
  <c r="J430" i="2" s="1"/>
  <c r="H431" i="2"/>
  <c r="J431" i="2" s="1"/>
  <c r="H433" i="2"/>
  <c r="J433" i="2" s="1"/>
  <c r="H434" i="2"/>
  <c r="J434" i="2" s="1"/>
  <c r="H435" i="2"/>
  <c r="J435" i="2" s="1"/>
  <c r="H436" i="2"/>
  <c r="J436" i="2" s="1"/>
  <c r="H437" i="2"/>
  <c r="J437" i="2" s="1"/>
  <c r="H438" i="2"/>
  <c r="J438" i="2" s="1"/>
  <c r="H439" i="2"/>
  <c r="J439" i="2" s="1"/>
  <c r="H440" i="2"/>
  <c r="J440" i="2" s="1"/>
  <c r="H441" i="2"/>
  <c r="J441" i="2" s="1"/>
  <c r="H442" i="2"/>
  <c r="J442" i="2" s="1"/>
  <c r="H443" i="2"/>
  <c r="J443" i="2" s="1"/>
  <c r="H444" i="2"/>
  <c r="J444" i="2" s="1"/>
  <c r="H445" i="2"/>
  <c r="J445" i="2" s="1"/>
  <c r="H446" i="2"/>
  <c r="J446" i="2" s="1"/>
  <c r="H447" i="2"/>
  <c r="J447" i="2" s="1"/>
  <c r="H448" i="2"/>
  <c r="J448" i="2" s="1"/>
  <c r="H449" i="2"/>
  <c r="J449" i="2" s="1"/>
  <c r="H450" i="2"/>
  <c r="J450" i="2" s="1"/>
  <c r="H451" i="2"/>
  <c r="J451" i="2" s="1"/>
  <c r="H452" i="2"/>
  <c r="J452" i="2" s="1"/>
  <c r="H453" i="2"/>
  <c r="J453" i="2" s="1"/>
  <c r="H454" i="2"/>
  <c r="J454" i="2" s="1"/>
  <c r="H455" i="2"/>
  <c r="J455" i="2" s="1"/>
  <c r="H456" i="2"/>
  <c r="J456" i="2" s="1"/>
  <c r="H457" i="2"/>
  <c r="J457" i="2" s="1"/>
  <c r="H458" i="2"/>
  <c r="J458" i="2" s="1"/>
  <c r="H459" i="2"/>
  <c r="J459" i="2" s="1"/>
  <c r="H460" i="2"/>
  <c r="J460" i="2" s="1"/>
  <c r="H461" i="2"/>
  <c r="J461" i="2" s="1"/>
  <c r="H462" i="2"/>
  <c r="J462" i="2" s="1"/>
  <c r="H463" i="2"/>
  <c r="J463" i="2" s="1"/>
  <c r="H464" i="2"/>
  <c r="J464" i="2" s="1"/>
  <c r="H465" i="2"/>
  <c r="J465" i="2" s="1"/>
  <c r="H466" i="2"/>
  <c r="J466" i="2" s="1"/>
  <c r="H467" i="2"/>
  <c r="J467" i="2" s="1"/>
  <c r="H468" i="2"/>
  <c r="J468" i="2" s="1"/>
  <c r="H469" i="2"/>
  <c r="J469" i="2" s="1"/>
  <c r="H470" i="2"/>
  <c r="J470" i="2" s="1"/>
  <c r="H471" i="2"/>
  <c r="J471" i="2" s="1"/>
  <c r="H472" i="2"/>
  <c r="J472" i="2" s="1"/>
  <c r="H473" i="2"/>
  <c r="J473" i="2" s="1"/>
  <c r="H475" i="2"/>
  <c r="J475" i="2" s="1"/>
  <c r="H476" i="2"/>
  <c r="J476" i="2" s="1"/>
  <c r="H477" i="2"/>
  <c r="J477" i="2" s="1"/>
  <c r="H478" i="2"/>
  <c r="J478" i="2" s="1"/>
  <c r="H479" i="2"/>
  <c r="J479" i="2" s="1"/>
  <c r="H480" i="2"/>
  <c r="J480" i="2" s="1"/>
  <c r="H481" i="2"/>
  <c r="J481" i="2" s="1"/>
  <c r="H482" i="2"/>
  <c r="J482" i="2" s="1"/>
  <c r="H483" i="2"/>
  <c r="J483" i="2" s="1"/>
  <c r="H484" i="2"/>
  <c r="J484" i="2" s="1"/>
  <c r="H485" i="2"/>
  <c r="J485" i="2" s="1"/>
  <c r="H486" i="2"/>
  <c r="J486" i="2" s="1"/>
  <c r="H487" i="2"/>
  <c r="J487" i="2" s="1"/>
  <c r="H488" i="2"/>
  <c r="J488" i="2" s="1"/>
  <c r="H489" i="2"/>
  <c r="J489" i="2" s="1"/>
  <c r="H490" i="2"/>
  <c r="J490" i="2" s="1"/>
  <c r="H491" i="2"/>
  <c r="J491" i="2" s="1"/>
  <c r="H492" i="2"/>
  <c r="J492" i="2" s="1"/>
  <c r="H494" i="2"/>
  <c r="J494" i="2" s="1"/>
  <c r="H495" i="2"/>
  <c r="J495" i="2" s="1"/>
  <c r="H496" i="2"/>
  <c r="J496" i="2" s="1"/>
  <c r="H497" i="2"/>
  <c r="J497" i="2" s="1"/>
  <c r="H498" i="2"/>
  <c r="J498" i="2" s="1"/>
  <c r="H499" i="2"/>
  <c r="J499" i="2" s="1"/>
  <c r="H500" i="2"/>
  <c r="J500" i="2" s="1"/>
  <c r="H501" i="2"/>
  <c r="J501" i="2" s="1"/>
  <c r="H502" i="2"/>
  <c r="J502" i="2" s="1"/>
  <c r="H503" i="2"/>
  <c r="J503" i="2" s="1"/>
  <c r="H504" i="2"/>
  <c r="J504" i="2" s="1"/>
  <c r="H505" i="2"/>
  <c r="J505" i="2" s="1"/>
  <c r="H506" i="2"/>
  <c r="J506" i="2" s="1"/>
  <c r="H507" i="2"/>
  <c r="J507" i="2" s="1"/>
  <c r="H508" i="2"/>
  <c r="J508" i="2" s="1"/>
  <c r="H509" i="2"/>
  <c r="J509" i="2" s="1"/>
  <c r="H510" i="2"/>
  <c r="J510" i="2" s="1"/>
  <c r="H511" i="2"/>
  <c r="J511" i="2" s="1"/>
  <c r="H512" i="2"/>
  <c r="J512" i="2" s="1"/>
  <c r="H513" i="2"/>
  <c r="J513" i="2" s="1"/>
  <c r="H514" i="2"/>
  <c r="J514" i="2" s="1"/>
  <c r="H515" i="2"/>
  <c r="J515" i="2" s="1"/>
  <c r="H516" i="2"/>
  <c r="J516" i="2" s="1"/>
  <c r="H517" i="2"/>
  <c r="J517" i="2" s="1"/>
  <c r="H518" i="2"/>
  <c r="J518" i="2" s="1"/>
  <c r="H519" i="2"/>
  <c r="J519" i="2" s="1"/>
  <c r="H520" i="2"/>
  <c r="J520" i="2" s="1"/>
  <c r="H521" i="2"/>
  <c r="J521" i="2" s="1"/>
  <c r="H522" i="2"/>
  <c r="J522" i="2" s="1"/>
  <c r="H523" i="2"/>
  <c r="J523" i="2" s="1"/>
  <c r="H524" i="2"/>
  <c r="J524" i="2" s="1"/>
  <c r="H525" i="2"/>
  <c r="J525" i="2" s="1"/>
  <c r="H526" i="2"/>
  <c r="J526" i="2" s="1"/>
  <c r="H527" i="2"/>
  <c r="J527" i="2" s="1"/>
  <c r="H528" i="2"/>
  <c r="J528" i="2" s="1"/>
  <c r="H529" i="2"/>
  <c r="J529" i="2" s="1"/>
  <c r="H530" i="2"/>
  <c r="J530" i="2" s="1"/>
  <c r="H531" i="2"/>
  <c r="J531" i="2" s="1"/>
  <c r="H532" i="2"/>
  <c r="J532" i="2" s="1"/>
  <c r="H533" i="2"/>
  <c r="J533" i="2" s="1"/>
  <c r="H534" i="2"/>
  <c r="J534" i="2" s="1"/>
  <c r="H535" i="2"/>
  <c r="J535" i="2" s="1"/>
  <c r="H536" i="2"/>
  <c r="J536" i="2" s="1"/>
  <c r="H537" i="2"/>
  <c r="J537" i="2" s="1"/>
  <c r="H538" i="2"/>
  <c r="J538" i="2" s="1"/>
  <c r="H540" i="2"/>
  <c r="J540" i="2" s="1"/>
  <c r="H541" i="2"/>
  <c r="J541" i="2" s="1"/>
  <c r="H542" i="2"/>
  <c r="J542" i="2" s="1"/>
  <c r="H543" i="2"/>
  <c r="J543" i="2" s="1"/>
  <c r="H544" i="2"/>
  <c r="J544" i="2" s="1"/>
  <c r="H545" i="2"/>
  <c r="J545" i="2" s="1"/>
  <c r="H546" i="2"/>
  <c r="J546" i="2" s="1"/>
  <c r="H547" i="2"/>
  <c r="J547" i="2" s="1"/>
  <c r="H548" i="2"/>
  <c r="J548" i="2" s="1"/>
  <c r="H549" i="2"/>
  <c r="J549" i="2" s="1"/>
  <c r="H550" i="2"/>
  <c r="J550" i="2" s="1"/>
  <c r="H551" i="2"/>
  <c r="J551" i="2" s="1"/>
  <c r="H552" i="2"/>
  <c r="J552" i="2" s="1"/>
  <c r="H553" i="2"/>
  <c r="J553" i="2" s="1"/>
  <c r="H554" i="2"/>
  <c r="J554" i="2" s="1"/>
  <c r="H555" i="2"/>
  <c r="J555" i="2" s="1"/>
  <c r="H556" i="2"/>
  <c r="J556" i="2" s="1"/>
  <c r="H558" i="2"/>
  <c r="J558" i="2" s="1"/>
  <c r="H559" i="2"/>
  <c r="J559" i="2" s="1"/>
  <c r="H560" i="2"/>
  <c r="J560" i="2" s="1"/>
  <c r="H561" i="2"/>
  <c r="J561" i="2" s="1"/>
  <c r="H563" i="2"/>
  <c r="J563" i="2" s="1"/>
  <c r="H564" i="2"/>
  <c r="J564" i="2" s="1"/>
  <c r="H565" i="2"/>
  <c r="J565" i="2" s="1"/>
  <c r="H566" i="2"/>
  <c r="J566" i="2" s="1"/>
  <c r="H567" i="2"/>
  <c r="J567" i="2" s="1"/>
  <c r="H568" i="2"/>
  <c r="J568" i="2" s="1"/>
  <c r="H569" i="2"/>
  <c r="J569" i="2" s="1"/>
  <c r="H570" i="2"/>
  <c r="J570" i="2" s="1"/>
  <c r="H571" i="2"/>
  <c r="J571" i="2" s="1"/>
  <c r="H572" i="2"/>
  <c r="J572" i="2" s="1"/>
  <c r="H574" i="2"/>
  <c r="J574" i="2" s="1"/>
  <c r="H575" i="2"/>
  <c r="J575" i="2" s="1"/>
  <c r="H576" i="2"/>
  <c r="J576" i="2" s="1"/>
  <c r="H577" i="2"/>
  <c r="J577" i="2" s="1"/>
  <c r="H578" i="2"/>
  <c r="J578" i="2" s="1"/>
  <c r="H579" i="2"/>
  <c r="J579" i="2" s="1"/>
  <c r="H580" i="2"/>
  <c r="J580" i="2" s="1"/>
  <c r="H582" i="2"/>
  <c r="J582" i="2" s="1"/>
  <c r="H583" i="2"/>
  <c r="J583" i="2" s="1"/>
  <c r="H584" i="2"/>
  <c r="J584" i="2" s="1"/>
  <c r="H585" i="2"/>
  <c r="J585" i="2" s="1"/>
  <c r="H586" i="2"/>
  <c r="J586" i="2" s="1"/>
  <c r="H587" i="2"/>
  <c r="J587" i="2" s="1"/>
  <c r="H588" i="2"/>
  <c r="J588" i="2" s="1"/>
  <c r="H589" i="2"/>
  <c r="J589" i="2" s="1"/>
  <c r="H590" i="2"/>
  <c r="J590" i="2" s="1"/>
  <c r="H591" i="2"/>
  <c r="J591" i="2" s="1"/>
  <c r="H592" i="2"/>
  <c r="J592" i="2" s="1"/>
  <c r="H593" i="2"/>
  <c r="J593" i="2" s="1"/>
  <c r="H594" i="2"/>
  <c r="J594" i="2" s="1"/>
  <c r="H595" i="2"/>
  <c r="J595" i="2" s="1"/>
  <c r="H596" i="2"/>
  <c r="J596" i="2" s="1"/>
  <c r="H597" i="2"/>
  <c r="J597" i="2" s="1"/>
  <c r="H598" i="2"/>
  <c r="J598" i="2" s="1"/>
  <c r="H599" i="2"/>
  <c r="J599" i="2" s="1"/>
  <c r="H600" i="2"/>
  <c r="J600" i="2" s="1"/>
  <c r="H601" i="2"/>
  <c r="J601" i="2" s="1"/>
  <c r="H602" i="2"/>
  <c r="J602" i="2" s="1"/>
  <c r="H603" i="2"/>
  <c r="J603" i="2" s="1"/>
  <c r="H604" i="2"/>
  <c r="J604" i="2" s="1"/>
  <c r="H605" i="2"/>
  <c r="J605" i="2" s="1"/>
  <c r="H606" i="2"/>
  <c r="J606" i="2" s="1"/>
  <c r="H607" i="2"/>
  <c r="J607" i="2" s="1"/>
  <c r="H608" i="2"/>
  <c r="J608" i="2" s="1"/>
  <c r="H609" i="2"/>
  <c r="J609" i="2" s="1"/>
  <c r="H610" i="2"/>
  <c r="J610" i="2" s="1"/>
  <c r="H611" i="2"/>
  <c r="J611" i="2" s="1"/>
  <c r="H612" i="2"/>
  <c r="J612" i="2" s="1"/>
  <c r="H613" i="2"/>
  <c r="J613" i="2" s="1"/>
  <c r="H614" i="2"/>
  <c r="J614" i="2" s="1"/>
  <c r="H615" i="2"/>
  <c r="J615" i="2" s="1"/>
  <c r="H616" i="2"/>
  <c r="J616" i="2" s="1"/>
  <c r="H617" i="2"/>
  <c r="J617" i="2"/>
  <c r="H618" i="2"/>
  <c r="J618" i="2" s="1"/>
  <c r="H619" i="2"/>
  <c r="J619" i="2" s="1"/>
  <c r="H620" i="2"/>
  <c r="J620" i="2" s="1"/>
  <c r="H621" i="2"/>
  <c r="J621" i="2" s="1"/>
  <c r="H622" i="2"/>
  <c r="J622" i="2" s="1"/>
  <c r="H623" i="2"/>
  <c r="J623" i="2" s="1"/>
  <c r="H624" i="2"/>
  <c r="J624" i="2" s="1"/>
  <c r="H625" i="2"/>
  <c r="J625" i="2"/>
  <c r="H626" i="2"/>
  <c r="J626" i="2" s="1"/>
  <c r="H627" i="2"/>
  <c r="J627" i="2" s="1"/>
  <c r="H628" i="2"/>
  <c r="J628" i="2" s="1"/>
  <c r="H629" i="2"/>
  <c r="J629" i="2" s="1"/>
  <c r="H630" i="2"/>
  <c r="J630" i="2" s="1"/>
  <c r="H631" i="2"/>
  <c r="J631" i="2" s="1"/>
  <c r="H632" i="2"/>
  <c r="J632" i="2" s="1"/>
  <c r="H633" i="2"/>
  <c r="J633" i="2" s="1"/>
  <c r="H634" i="2"/>
  <c r="J634" i="2" s="1"/>
  <c r="H635" i="2"/>
  <c r="J635" i="2" s="1"/>
  <c r="H636" i="2"/>
  <c r="J636" i="2" s="1"/>
  <c r="H637" i="2"/>
  <c r="J637" i="2" s="1"/>
  <c r="H638" i="2"/>
  <c r="J638" i="2" s="1"/>
  <c r="H639" i="2"/>
  <c r="J639" i="2" s="1"/>
  <c r="H640" i="2"/>
  <c r="J640" i="2" s="1"/>
  <c r="H641" i="2"/>
  <c r="J641" i="2" s="1"/>
  <c r="H642" i="2"/>
  <c r="J642" i="2" s="1"/>
  <c r="H643" i="2"/>
  <c r="J643" i="2" s="1"/>
  <c r="H644" i="2"/>
  <c r="J644" i="2" s="1"/>
  <c r="H645" i="2"/>
  <c r="J645" i="2" s="1"/>
  <c r="H646" i="2"/>
  <c r="J646" i="2" s="1"/>
  <c r="H647" i="2"/>
  <c r="J647" i="2" s="1"/>
  <c r="H648" i="2"/>
  <c r="J648" i="2" s="1"/>
  <c r="H649" i="2"/>
  <c r="J649" i="2"/>
  <c r="H650" i="2"/>
  <c r="J650" i="2" s="1"/>
  <c r="H651" i="2"/>
  <c r="J651" i="2" s="1"/>
  <c r="H652" i="2"/>
  <c r="J652" i="2" s="1"/>
  <c r="H653" i="2"/>
  <c r="J653" i="2" s="1"/>
  <c r="H654" i="2"/>
  <c r="J654" i="2" s="1"/>
  <c r="H655" i="2"/>
  <c r="J655" i="2" s="1"/>
  <c r="H656" i="2"/>
  <c r="J656" i="2" s="1"/>
  <c r="H657" i="2"/>
  <c r="J657" i="2"/>
  <c r="H658" i="2"/>
  <c r="J658" i="2" s="1"/>
  <c r="H659" i="2"/>
  <c r="J659" i="2" s="1"/>
  <c r="H660" i="2"/>
  <c r="J660" i="2" s="1"/>
  <c r="H661" i="2"/>
  <c r="J661" i="2" s="1"/>
  <c r="H662" i="2"/>
  <c r="J662" i="2" s="1"/>
  <c r="H663" i="2"/>
  <c r="J663" i="2" s="1"/>
  <c r="H664" i="2"/>
  <c r="J664" i="2" s="1"/>
  <c r="H665" i="2"/>
  <c r="J665" i="2" s="1"/>
  <c r="H666" i="2"/>
  <c r="J666" i="2" s="1"/>
  <c r="H667" i="2"/>
  <c r="J667" i="2" s="1"/>
  <c r="H668" i="2"/>
  <c r="J668" i="2" s="1"/>
  <c r="H669" i="2"/>
  <c r="J669" i="2" s="1"/>
  <c r="H670" i="2"/>
  <c r="J670" i="2" s="1"/>
  <c r="H671" i="2"/>
  <c r="J671" i="2" s="1"/>
  <c r="H672" i="2"/>
  <c r="J672" i="2" s="1"/>
  <c r="H673" i="2"/>
  <c r="J673" i="2" s="1"/>
  <c r="H674" i="2"/>
  <c r="J674" i="2" s="1"/>
  <c r="H675" i="2"/>
  <c r="J675" i="2" s="1"/>
  <c r="H676" i="2"/>
  <c r="J676" i="2" s="1"/>
  <c r="H678" i="2"/>
  <c r="J678" i="2" s="1"/>
  <c r="H680" i="2"/>
  <c r="J680" i="2" s="1"/>
  <c r="H681" i="2"/>
  <c r="J681" i="2" s="1"/>
  <c r="H682" i="2"/>
  <c r="J682" i="2" s="1"/>
  <c r="H683" i="2"/>
  <c r="J683" i="2"/>
  <c r="H684" i="2"/>
  <c r="J684" i="2" s="1"/>
  <c r="H685" i="2"/>
  <c r="J685" i="2" s="1"/>
  <c r="H686" i="2"/>
  <c r="J686" i="2" s="1"/>
  <c r="H687" i="2"/>
  <c r="J687" i="2" s="1"/>
  <c r="H688" i="2"/>
  <c r="J688" i="2" s="1"/>
  <c r="H689" i="2"/>
  <c r="J689" i="2" s="1"/>
  <c r="H690" i="2"/>
  <c r="J690" i="2" s="1"/>
  <c r="H691" i="2"/>
  <c r="J691" i="2"/>
  <c r="H693" i="2"/>
  <c r="J693" i="2" s="1"/>
  <c r="H694" i="2"/>
  <c r="J694" i="2" s="1"/>
  <c r="H695" i="2"/>
  <c r="J695" i="2" s="1"/>
  <c r="H696" i="2"/>
  <c r="J696" i="2" s="1"/>
  <c r="H698" i="2"/>
  <c r="J698" i="2" s="1"/>
  <c r="H699" i="2"/>
  <c r="J699" i="2" s="1"/>
  <c r="H700" i="2"/>
  <c r="J700" i="2" s="1"/>
  <c r="H701" i="2"/>
  <c r="J701" i="2" s="1"/>
  <c r="H702" i="2"/>
  <c r="J702" i="2" s="1"/>
  <c r="H703" i="2"/>
  <c r="J703" i="2" s="1"/>
  <c r="H704" i="2"/>
  <c r="J704" i="2" s="1"/>
  <c r="H705" i="2"/>
  <c r="J705" i="2" s="1"/>
  <c r="H706" i="2"/>
  <c r="J706" i="2" s="1"/>
  <c r="H707" i="2"/>
  <c r="J707" i="2" s="1"/>
  <c r="H708" i="2"/>
  <c r="J708" i="2" s="1"/>
  <c r="H709" i="2"/>
  <c r="J709" i="2" s="1"/>
  <c r="H710" i="2"/>
  <c r="J710" i="2" s="1"/>
  <c r="H711" i="2"/>
  <c r="J711" i="2" s="1"/>
  <c r="H713" i="2"/>
  <c r="J713" i="2" s="1"/>
  <c r="H714" i="2"/>
  <c r="J714" i="2" s="1"/>
  <c r="H715" i="2"/>
  <c r="J715" i="2" s="1"/>
  <c r="H717" i="2"/>
  <c r="J717" i="2" s="1"/>
  <c r="H718" i="2"/>
  <c r="J718" i="2" s="1"/>
  <c r="H719" i="2"/>
  <c r="J719" i="2"/>
  <c r="H720" i="2"/>
  <c r="J720" i="2" s="1"/>
  <c r="H721" i="2"/>
  <c r="J721" i="2" s="1"/>
  <c r="H722" i="2"/>
  <c r="J722" i="2" s="1"/>
  <c r="H723" i="2"/>
  <c r="J723" i="2" s="1"/>
  <c r="H724" i="2"/>
  <c r="J724" i="2" s="1"/>
  <c r="H725" i="2"/>
  <c r="J725" i="2" s="1"/>
  <c r="H726" i="2"/>
  <c r="J726" i="2" s="1"/>
  <c r="H727" i="2"/>
  <c r="J727" i="2"/>
  <c r="H728" i="2"/>
  <c r="J728" i="2" s="1"/>
  <c r="H729" i="2"/>
  <c r="J729" i="2" s="1"/>
  <c r="H730" i="2"/>
  <c r="J730" i="2" s="1"/>
  <c r="H731" i="2"/>
  <c r="J731" i="2" s="1"/>
  <c r="H732" i="2"/>
  <c r="J732" i="2" s="1"/>
  <c r="H733" i="2"/>
  <c r="J733" i="2" s="1"/>
  <c r="H734" i="2"/>
  <c r="J734" i="2" s="1"/>
  <c r="H735" i="2"/>
  <c r="J735" i="2" s="1"/>
  <c r="H736" i="2"/>
  <c r="J736" i="2" s="1"/>
  <c r="H737" i="2"/>
  <c r="J737" i="2" s="1"/>
  <c r="H738" i="2"/>
  <c r="J738" i="2" s="1"/>
  <c r="H739" i="2"/>
  <c r="J739" i="2" s="1"/>
  <c r="H740" i="2"/>
  <c r="J740" i="2" s="1"/>
  <c r="H741" i="2"/>
  <c r="J741" i="2" s="1"/>
  <c r="H742" i="2"/>
  <c r="J742" i="2" s="1"/>
  <c r="H743" i="2"/>
  <c r="J743" i="2" s="1"/>
  <c r="H744" i="2"/>
  <c r="J744" i="2" s="1"/>
  <c r="H745" i="2"/>
  <c r="J745" i="2" s="1"/>
  <c r="H746" i="2"/>
  <c r="J746" i="2" s="1"/>
  <c r="H747" i="2"/>
  <c r="J747" i="2" s="1"/>
  <c r="H748" i="2"/>
  <c r="J748" i="2" s="1"/>
  <c r="H749" i="2"/>
  <c r="J749" i="2" s="1"/>
  <c r="H750" i="2"/>
  <c r="J750" i="2" s="1"/>
  <c r="H751" i="2"/>
  <c r="J751" i="2"/>
  <c r="H752" i="2"/>
  <c r="J752" i="2" s="1"/>
  <c r="H753" i="2"/>
  <c r="J753" i="2" s="1"/>
  <c r="H754" i="2"/>
  <c r="J754" i="2" s="1"/>
  <c r="H755" i="2"/>
  <c r="J755" i="2" s="1"/>
  <c r="H756" i="2"/>
  <c r="J756" i="2" s="1"/>
  <c r="H757" i="2"/>
  <c r="J757" i="2" s="1"/>
  <c r="H758" i="2"/>
  <c r="J758" i="2" s="1"/>
  <c r="H759" i="2"/>
  <c r="J759" i="2"/>
  <c r="H760" i="2"/>
  <c r="J760" i="2" s="1"/>
  <c r="H761" i="2"/>
  <c r="J761" i="2" s="1"/>
  <c r="H762" i="2"/>
  <c r="J762" i="2" s="1"/>
  <c r="H763" i="2"/>
  <c r="J763" i="2" s="1"/>
  <c r="H764" i="2"/>
  <c r="J764" i="2" s="1"/>
  <c r="H765" i="2"/>
  <c r="J765" i="2" s="1"/>
  <c r="H766" i="2"/>
  <c r="J766" i="2" s="1"/>
  <c r="H767" i="2"/>
  <c r="J767" i="2" s="1"/>
  <c r="H768" i="2"/>
  <c r="J768" i="2" s="1"/>
  <c r="H769" i="2"/>
  <c r="J769" i="2" s="1"/>
  <c r="H770" i="2"/>
  <c r="J770" i="2" s="1"/>
  <c r="H771" i="2"/>
  <c r="J771" i="2" s="1"/>
  <c r="H772" i="2"/>
  <c r="J772" i="2" s="1"/>
  <c r="H773" i="2"/>
  <c r="J773" i="2" s="1"/>
  <c r="H774" i="2"/>
  <c r="J774" i="2" s="1"/>
  <c r="H775" i="2"/>
  <c r="J775" i="2" s="1"/>
  <c r="H776" i="2"/>
  <c r="J776" i="2" s="1"/>
  <c r="H777" i="2"/>
  <c r="J777" i="2" s="1"/>
  <c r="H778" i="2"/>
  <c r="J778" i="2" s="1"/>
  <c r="H779" i="2"/>
  <c r="J779" i="2" s="1"/>
  <c r="H781" i="2"/>
  <c r="J781" i="2" s="1"/>
  <c r="H782" i="2"/>
  <c r="J782" i="2" s="1"/>
  <c r="H784" i="2"/>
  <c r="J784" i="2" s="1"/>
  <c r="H785" i="2"/>
  <c r="J785" i="2"/>
  <c r="H786" i="2"/>
  <c r="J786" i="2" s="1"/>
  <c r="H787" i="2"/>
  <c r="J787" i="2" s="1"/>
  <c r="H788" i="2"/>
  <c r="J788" i="2" s="1"/>
  <c r="H789" i="2"/>
  <c r="J789" i="2" s="1"/>
  <c r="H790" i="2"/>
  <c r="J790" i="2" s="1"/>
  <c r="H791" i="2"/>
  <c r="J791" i="2" s="1"/>
  <c r="H792" i="2"/>
  <c r="J792" i="2" s="1"/>
  <c r="H793" i="2"/>
  <c r="J793" i="2"/>
  <c r="H794" i="2"/>
  <c r="J794" i="2" s="1"/>
  <c r="H795" i="2"/>
  <c r="J795" i="2" s="1"/>
  <c r="H796" i="2"/>
  <c r="J796" i="2" s="1"/>
  <c r="H797" i="2"/>
  <c r="J797" i="2" s="1"/>
  <c r="H798" i="2"/>
  <c r="J798" i="2" s="1"/>
  <c r="H799" i="2"/>
  <c r="J799" i="2" s="1"/>
  <c r="H800" i="2"/>
  <c r="J800" i="2" s="1"/>
  <c r="H801" i="2"/>
  <c r="J801" i="2" s="1"/>
  <c r="H802" i="2"/>
  <c r="J802" i="2" s="1"/>
  <c r="H803" i="2"/>
  <c r="J803" i="2" s="1"/>
  <c r="H804" i="2"/>
  <c r="J804" i="2" s="1"/>
  <c r="H805" i="2"/>
  <c r="J805" i="2" s="1"/>
  <c r="H806" i="2"/>
  <c r="J806" i="2" s="1"/>
  <c r="H807" i="2"/>
  <c r="J807" i="2" s="1"/>
  <c r="H808" i="2"/>
  <c r="J808" i="2" s="1"/>
  <c r="H809" i="2"/>
  <c r="J809" i="2" s="1"/>
  <c r="H810" i="2"/>
  <c r="J810" i="2" s="1"/>
  <c r="H811" i="2"/>
  <c r="J811" i="2" s="1"/>
  <c r="H812" i="2"/>
  <c r="J812" i="2" s="1"/>
  <c r="H813" i="2"/>
  <c r="J813" i="2" s="1"/>
  <c r="H814" i="2"/>
  <c r="J814" i="2" s="1"/>
  <c r="H815" i="2"/>
  <c r="J815" i="2" s="1"/>
  <c r="H816" i="2"/>
  <c r="J816" i="2" s="1"/>
  <c r="H817" i="2"/>
  <c r="J817" i="2" s="1"/>
  <c r="H818" i="2"/>
  <c r="J818" i="2" s="1"/>
  <c r="H819" i="2"/>
  <c r="J819" i="2" s="1"/>
  <c r="H820" i="2"/>
  <c r="J820" i="2" s="1"/>
  <c r="H821" i="2"/>
  <c r="J821" i="2" s="1"/>
  <c r="H822" i="2"/>
  <c r="J822" i="2" s="1"/>
  <c r="H823" i="2"/>
  <c r="J823" i="2" s="1"/>
  <c r="H824" i="2"/>
  <c r="J824" i="2" s="1"/>
  <c r="H825" i="2"/>
  <c r="J825" i="2"/>
  <c r="H826" i="2"/>
  <c r="J826" i="2" s="1"/>
  <c r="H827" i="2"/>
  <c r="J827" i="2" s="1"/>
  <c r="H828" i="2"/>
  <c r="J828" i="2" s="1"/>
  <c r="H829" i="2"/>
  <c r="J829" i="2" s="1"/>
  <c r="H830" i="2"/>
  <c r="J830" i="2" s="1"/>
  <c r="H831" i="2"/>
  <c r="J831" i="2" s="1"/>
  <c r="H832" i="2"/>
  <c r="J832" i="2" s="1"/>
  <c r="H833" i="2"/>
  <c r="J833" i="2" s="1"/>
  <c r="H834" i="2"/>
  <c r="J834" i="2" s="1"/>
  <c r="H835" i="2"/>
  <c r="J835" i="2" s="1"/>
  <c r="H836" i="2"/>
  <c r="J836" i="2" s="1"/>
  <c r="H837" i="2"/>
  <c r="J837" i="2" s="1"/>
  <c r="H838" i="2"/>
  <c r="J838" i="2" s="1"/>
  <c r="H839" i="2"/>
  <c r="J839" i="2" s="1"/>
  <c r="H840" i="2"/>
  <c r="J840" i="2" s="1"/>
  <c r="H846" i="2"/>
  <c r="J846" i="2"/>
  <c r="H847" i="2"/>
  <c r="J847" i="2" s="1"/>
  <c r="H848" i="2"/>
  <c r="J848" i="2" s="1"/>
  <c r="H849" i="2"/>
  <c r="J849" i="2" s="1"/>
  <c r="H850" i="2"/>
  <c r="J850" i="2" s="1"/>
  <c r="H851" i="2"/>
  <c r="J851" i="2" s="1"/>
  <c r="H852" i="2"/>
  <c r="J852" i="2" s="1"/>
  <c r="H853" i="2"/>
  <c r="J853" i="2" s="1"/>
  <c r="H854" i="2"/>
  <c r="J854" i="2" s="1"/>
  <c r="H855" i="2"/>
  <c r="J855" i="2" s="1"/>
  <c r="H856" i="2"/>
  <c r="J856" i="2" s="1"/>
  <c r="H857" i="2"/>
  <c r="J857" i="2" s="1"/>
  <c r="H858" i="2"/>
  <c r="J858" i="2" s="1"/>
  <c r="H859" i="2"/>
  <c r="J859" i="2" s="1"/>
  <c r="H860" i="2"/>
  <c r="J860" i="2" s="1"/>
  <c r="H861" i="2"/>
  <c r="J861" i="2" s="1"/>
  <c r="H862" i="2"/>
  <c r="J862" i="2" s="1"/>
  <c r="H863" i="2"/>
  <c r="J863" i="2" s="1"/>
  <c r="H864" i="2"/>
  <c r="J864" i="2" s="1"/>
  <c r="H865" i="2"/>
  <c r="J865" i="2" s="1"/>
  <c r="H866" i="2"/>
  <c r="J866" i="2" s="1"/>
  <c r="H867" i="2"/>
  <c r="J867" i="2" s="1"/>
  <c r="H868" i="2"/>
  <c r="J868" i="2" s="1"/>
  <c r="H869" i="2"/>
  <c r="J869" i="2" s="1"/>
  <c r="H870" i="2"/>
  <c r="J870" i="2" s="1"/>
  <c r="H871" i="2"/>
  <c r="J871" i="2" s="1"/>
  <c r="H872" i="2"/>
  <c r="J872" i="2" s="1"/>
  <c r="H873" i="2"/>
  <c r="J873" i="2" s="1"/>
  <c r="H874" i="2"/>
  <c r="J874" i="2" s="1"/>
  <c r="H875" i="2"/>
  <c r="J875" i="2" s="1"/>
  <c r="H876" i="2"/>
  <c r="J876" i="2" s="1"/>
  <c r="H877" i="2"/>
  <c r="J877" i="2" s="1"/>
  <c r="H878" i="2"/>
  <c r="J878" i="2" s="1"/>
  <c r="H879" i="2"/>
  <c r="J879" i="2" s="1"/>
  <c r="H880" i="2"/>
  <c r="J880" i="2" s="1"/>
  <c r="H881" i="2"/>
  <c r="J881" i="2" s="1"/>
  <c r="H883" i="2"/>
  <c r="J883" i="2" s="1"/>
  <c r="H884" i="2"/>
  <c r="J884" i="2" s="1"/>
  <c r="H885" i="2"/>
  <c r="J885" i="2" s="1"/>
  <c r="H886" i="2"/>
  <c r="J886" i="2" s="1"/>
  <c r="H887" i="2"/>
  <c r="J887" i="2" s="1"/>
  <c r="H888" i="2"/>
  <c r="J888" i="2" s="1"/>
  <c r="H889" i="2"/>
  <c r="J889" i="2" s="1"/>
  <c r="H890" i="2"/>
  <c r="J890" i="2" s="1"/>
  <c r="H891" i="2"/>
  <c r="J891" i="2" s="1"/>
  <c r="H893" i="2"/>
  <c r="J893" i="2" s="1"/>
  <c r="H894" i="2"/>
  <c r="J894" i="2" s="1"/>
  <c r="H895" i="2"/>
  <c r="J895" i="2" s="1"/>
  <c r="H896" i="2"/>
  <c r="J896" i="2"/>
  <c r="H897" i="2"/>
  <c r="J897" i="2" s="1"/>
  <c r="H898" i="2"/>
  <c r="J898" i="2" s="1"/>
  <c r="H899" i="2"/>
  <c r="J899" i="2" s="1"/>
  <c r="H900" i="2"/>
  <c r="J900" i="2" s="1"/>
  <c r="H901" i="2"/>
  <c r="J901" i="2" s="1"/>
  <c r="H902" i="2"/>
  <c r="J902" i="2" s="1"/>
  <c r="H903" i="2"/>
  <c r="J903" i="2" s="1"/>
  <c r="H904" i="2"/>
  <c r="J904" i="2" s="1"/>
  <c r="H905" i="2"/>
  <c r="J905" i="2" s="1"/>
  <c r="H906" i="2"/>
  <c r="J906" i="2" s="1"/>
  <c r="H909" i="2"/>
  <c r="J909" i="2" s="1"/>
  <c r="H910" i="2"/>
  <c r="J910" i="2" s="1"/>
  <c r="H911" i="2"/>
  <c r="J911" i="2" s="1"/>
  <c r="H912" i="2"/>
  <c r="J912" i="2" s="1"/>
  <c r="H913" i="2"/>
  <c r="J913" i="2" s="1"/>
  <c r="H914" i="2"/>
  <c r="J914" i="2"/>
  <c r="H915" i="2"/>
  <c r="J915" i="2" s="1"/>
  <c r="H916" i="2"/>
  <c r="J916" i="2" s="1"/>
  <c r="H917" i="2"/>
  <c r="J917" i="2" s="1"/>
  <c r="H918" i="2"/>
  <c r="J918" i="2" s="1"/>
  <c r="H921" i="2"/>
  <c r="J921" i="2" s="1"/>
  <c r="H922" i="2"/>
  <c r="J922" i="2" s="1"/>
  <c r="H923" i="2"/>
  <c r="J923" i="2" s="1"/>
  <c r="H924" i="2"/>
  <c r="J924" i="2" s="1"/>
  <c r="H925" i="2"/>
  <c r="J925" i="2" s="1"/>
  <c r="H926" i="2"/>
  <c r="J926" i="2" s="1"/>
  <c r="H927" i="2"/>
  <c r="J927" i="2" s="1"/>
  <c r="H928" i="2"/>
  <c r="J928" i="2" s="1"/>
  <c r="H929" i="2"/>
  <c r="J929" i="2" s="1"/>
  <c r="H930" i="2"/>
  <c r="J930" i="2" s="1"/>
  <c r="H931" i="2"/>
  <c r="J931" i="2" s="1"/>
  <c r="H932" i="2"/>
  <c r="J932" i="2" s="1"/>
  <c r="H933" i="2"/>
  <c r="J933" i="2" s="1"/>
  <c r="H934" i="2"/>
  <c r="J934" i="2" s="1"/>
  <c r="H935" i="2"/>
  <c r="J935" i="2" s="1"/>
  <c r="H936" i="2"/>
  <c r="J936" i="2" s="1"/>
  <c r="H937" i="2"/>
  <c r="J937" i="2" s="1"/>
  <c r="H938" i="2"/>
  <c r="J938" i="2" s="1"/>
  <c r="H939" i="2"/>
  <c r="J939" i="2" s="1"/>
  <c r="H940" i="2"/>
  <c r="J940" i="2" s="1"/>
  <c r="H941" i="2"/>
  <c r="J941" i="2" s="1"/>
  <c r="H942" i="2"/>
  <c r="J942" i="2" s="1"/>
  <c r="H943" i="2"/>
  <c r="J943" i="2" s="1"/>
  <c r="H944" i="2"/>
  <c r="J944" i="2" s="1"/>
  <c r="H945" i="2"/>
  <c r="J945" i="2" s="1"/>
  <c r="H946" i="2"/>
  <c r="J946" i="2" s="1"/>
  <c r="H947" i="2"/>
  <c r="J947" i="2" s="1"/>
  <c r="H948" i="2"/>
  <c r="J948" i="2" s="1"/>
  <c r="H949" i="2"/>
  <c r="J949" i="2" s="1"/>
  <c r="H950" i="2"/>
  <c r="J950" i="2" s="1"/>
  <c r="H951" i="2"/>
  <c r="J951" i="2" s="1"/>
  <c r="H952" i="2"/>
  <c r="J952" i="2" s="1"/>
  <c r="H953" i="2"/>
  <c r="J953" i="2" s="1"/>
  <c r="H954" i="2"/>
  <c r="J954" i="2" s="1"/>
  <c r="H955" i="2"/>
  <c r="J955" i="2" s="1"/>
  <c r="H956" i="2"/>
  <c r="J956" i="2" s="1"/>
  <c r="H957" i="2"/>
  <c r="J957" i="2" s="1"/>
  <c r="H958" i="2"/>
  <c r="J958" i="2" s="1"/>
  <c r="H959" i="2"/>
  <c r="J959" i="2" s="1"/>
  <c r="H960" i="2"/>
  <c r="J960" i="2" s="1"/>
  <c r="H963" i="2"/>
  <c r="J963" i="2" s="1"/>
  <c r="H964" i="2"/>
  <c r="J964" i="2" s="1"/>
  <c r="H965" i="2"/>
  <c r="J965" i="2" s="1"/>
  <c r="H967" i="2"/>
  <c r="J967" i="2"/>
  <c r="H969" i="2"/>
  <c r="J969" i="2" s="1"/>
  <c r="H970" i="2"/>
  <c r="J970" i="2" s="1"/>
  <c r="H971" i="2"/>
  <c r="J971" i="2" s="1"/>
  <c r="H972" i="2"/>
  <c r="J972" i="2" s="1"/>
  <c r="H973" i="2"/>
  <c r="J973" i="2" s="1"/>
  <c r="H974" i="2"/>
  <c r="J974" i="2" s="1"/>
  <c r="H975" i="2"/>
  <c r="J975" i="2" s="1"/>
  <c r="H976" i="2"/>
  <c r="J976" i="2" s="1"/>
  <c r="H977" i="2"/>
  <c r="J977" i="2" s="1"/>
  <c r="H978" i="2"/>
  <c r="J978" i="2" s="1"/>
  <c r="H979" i="2"/>
  <c r="J979" i="2" s="1"/>
  <c r="H980" i="2"/>
  <c r="J980" i="2" s="1"/>
  <c r="H981" i="2"/>
  <c r="J981" i="2" s="1"/>
  <c r="H982" i="2"/>
  <c r="J982" i="2" s="1"/>
  <c r="H983" i="2"/>
  <c r="J983" i="2" s="1"/>
  <c r="H984" i="2"/>
  <c r="J984" i="2"/>
  <c r="H985" i="2"/>
  <c r="J985" i="2" s="1"/>
  <c r="H986" i="2"/>
  <c r="J986" i="2" s="1"/>
  <c r="H989" i="2"/>
  <c r="J989" i="2" s="1"/>
  <c r="H991" i="2"/>
  <c r="J991" i="2" s="1"/>
  <c r="H992" i="2"/>
  <c r="J992" i="2" s="1"/>
  <c r="H993" i="2"/>
  <c r="J993" i="2" s="1"/>
  <c r="H994" i="2"/>
  <c r="J994" i="2" s="1"/>
  <c r="H995" i="2"/>
  <c r="J995" i="2" s="1"/>
  <c r="H996" i="2"/>
  <c r="J996" i="2" s="1"/>
  <c r="H997" i="2"/>
  <c r="J997" i="2" s="1"/>
  <c r="H998" i="2"/>
  <c r="J998" i="2" s="1"/>
  <c r="H999" i="2"/>
  <c r="J999" i="2" s="1"/>
  <c r="H1000" i="2"/>
  <c r="J1000" i="2" s="1"/>
  <c r="H5" i="2"/>
  <c r="J5" i="2" s="1"/>
  <c r="H239" i="1"/>
  <c r="H240" i="1"/>
  <c r="J240" i="1" s="1"/>
  <c r="H241" i="1"/>
  <c r="J241" i="1" s="1"/>
  <c r="H242" i="1"/>
  <c r="H243" i="1"/>
  <c r="H244" i="1"/>
  <c r="J244" i="1" s="1"/>
  <c r="H245" i="1"/>
  <c r="H246" i="1"/>
  <c r="H247" i="1"/>
  <c r="H248" i="1"/>
  <c r="J248" i="1" s="1"/>
  <c r="H249" i="1"/>
  <c r="J249" i="1"/>
  <c r="H250" i="1"/>
  <c r="H251" i="1"/>
  <c r="J251" i="1" s="1"/>
  <c r="H252" i="1"/>
  <c r="J252" i="1" s="1"/>
  <c r="H253" i="1"/>
  <c r="J253" i="1" s="1"/>
  <c r="H254" i="1"/>
  <c r="H255" i="1"/>
  <c r="J255" i="1" s="1"/>
  <c r="H256" i="1"/>
  <c r="J256" i="1"/>
  <c r="H257" i="1"/>
  <c r="J257" i="1" s="1"/>
  <c r="H258" i="1"/>
  <c r="H259" i="1"/>
  <c r="J259" i="1"/>
  <c r="H260" i="1"/>
  <c r="J260" i="1" s="1"/>
  <c r="H261" i="1"/>
  <c r="J261" i="1" s="1"/>
  <c r="H262" i="1"/>
  <c r="H263" i="1"/>
  <c r="J263" i="1" s="1"/>
  <c r="H264" i="1"/>
  <c r="J264" i="1" s="1"/>
  <c r="H265" i="1"/>
  <c r="J265" i="1" s="1"/>
  <c r="H266" i="1"/>
  <c r="H267" i="1"/>
  <c r="J267" i="1" s="1"/>
  <c r="H268" i="1"/>
  <c r="J268" i="1" s="1"/>
  <c r="H269" i="1"/>
  <c r="J269" i="1" s="1"/>
  <c r="H270" i="1"/>
  <c r="H271" i="1"/>
  <c r="J271" i="1" s="1"/>
  <c r="H272" i="1"/>
  <c r="J272" i="1" s="1"/>
  <c r="H273" i="1"/>
  <c r="J273" i="1" s="1"/>
  <c r="H274" i="1"/>
  <c r="H275" i="1"/>
  <c r="J275" i="1" s="1"/>
  <c r="H276" i="1"/>
  <c r="J276" i="1" s="1"/>
  <c r="H277" i="1"/>
  <c r="J277" i="1"/>
  <c r="H278" i="1"/>
  <c r="H279" i="1"/>
  <c r="J279" i="1" s="1"/>
  <c r="H280" i="1"/>
  <c r="J280" i="1" s="1"/>
  <c r="H281" i="1"/>
  <c r="J281" i="1"/>
  <c r="H282" i="1"/>
  <c r="H283" i="1"/>
  <c r="J283" i="1" s="1"/>
  <c r="H284" i="1"/>
  <c r="J284" i="1" s="1"/>
  <c r="H285" i="1"/>
  <c r="J285" i="1" s="1"/>
  <c r="H286" i="1"/>
  <c r="H287" i="1"/>
  <c r="J287" i="1" s="1"/>
  <c r="H288" i="1"/>
  <c r="J288" i="1"/>
  <c r="H289" i="1"/>
  <c r="J289" i="1" s="1"/>
  <c r="H290" i="1"/>
  <c r="H291" i="1"/>
  <c r="J291" i="1"/>
  <c r="H292" i="1"/>
  <c r="J292" i="1" s="1"/>
  <c r="H293" i="1"/>
  <c r="J293" i="1" s="1"/>
  <c r="H294" i="1"/>
  <c r="H295" i="1"/>
  <c r="J295" i="1" s="1"/>
  <c r="H296" i="1"/>
  <c r="J296" i="1" s="1"/>
  <c r="H297" i="1"/>
  <c r="J297" i="1" s="1"/>
  <c r="H298" i="1"/>
  <c r="H299" i="1"/>
  <c r="J299" i="1" s="1"/>
  <c r="H300" i="1"/>
  <c r="J300" i="1" s="1"/>
  <c r="H301" i="1"/>
  <c r="J301" i="1" s="1"/>
  <c r="H302" i="1"/>
  <c r="H303" i="1"/>
  <c r="J303" i="1" s="1"/>
  <c r="H304" i="1"/>
  <c r="J304" i="1" s="1"/>
  <c r="H305" i="1"/>
  <c r="J305" i="1" s="1"/>
  <c r="H306" i="1"/>
  <c r="H307" i="1"/>
  <c r="J307" i="1" s="1"/>
  <c r="H308" i="1"/>
  <c r="J308" i="1" s="1"/>
  <c r="H309" i="1"/>
  <c r="J309" i="1"/>
  <c r="H310" i="1"/>
  <c r="H311" i="1"/>
  <c r="J311" i="1" s="1"/>
  <c r="H312" i="1"/>
  <c r="J312" i="1" s="1"/>
  <c r="H313" i="1"/>
  <c r="J313" i="1"/>
  <c r="H314" i="1"/>
  <c r="H315" i="1"/>
  <c r="J315" i="1" s="1"/>
  <c r="H316" i="1"/>
  <c r="J316" i="1" s="1"/>
  <c r="H317" i="1"/>
  <c r="J317" i="1" s="1"/>
  <c r="H318" i="1"/>
  <c r="H319" i="1"/>
  <c r="J319" i="1" s="1"/>
  <c r="H320" i="1"/>
  <c r="J320" i="1"/>
  <c r="H321" i="1"/>
  <c r="J321" i="1" s="1"/>
  <c r="H322" i="1"/>
  <c r="H323" i="1"/>
  <c r="J323" i="1"/>
  <c r="H324" i="1"/>
  <c r="J324" i="1" s="1"/>
  <c r="H325" i="1"/>
  <c r="J325" i="1" s="1"/>
  <c r="H326" i="1"/>
  <c r="H327" i="1"/>
  <c r="J327" i="1" s="1"/>
  <c r="H328" i="1"/>
  <c r="J328" i="1" s="1"/>
  <c r="H329" i="1"/>
  <c r="J329" i="1" s="1"/>
  <c r="H330" i="1"/>
  <c r="H331" i="1"/>
  <c r="J331" i="1" s="1"/>
  <c r="H332" i="1"/>
  <c r="J332" i="1" s="1"/>
  <c r="H333" i="1"/>
  <c r="J333" i="1" s="1"/>
  <c r="H334" i="1"/>
  <c r="H335" i="1"/>
  <c r="J335" i="1" s="1"/>
  <c r="H336" i="1"/>
  <c r="J336" i="1" s="1"/>
  <c r="H337" i="1"/>
  <c r="J337" i="1" s="1"/>
  <c r="H338" i="1"/>
  <c r="H339" i="1"/>
  <c r="J339" i="1" s="1"/>
  <c r="H340" i="1"/>
  <c r="J340" i="1" s="1"/>
  <c r="H341" i="1"/>
  <c r="J341" i="1"/>
  <c r="H342" i="1"/>
  <c r="H343" i="1"/>
  <c r="J343" i="1" s="1"/>
  <c r="H344" i="1"/>
  <c r="J344" i="1" s="1"/>
  <c r="H345" i="1"/>
  <c r="J345" i="1"/>
  <c r="H346" i="1"/>
  <c r="H347" i="1"/>
  <c r="J347" i="1" s="1"/>
  <c r="H348" i="1"/>
  <c r="J348" i="1" s="1"/>
  <c r="H349" i="1"/>
  <c r="J349" i="1" s="1"/>
  <c r="H350" i="1"/>
  <c r="H351" i="1"/>
  <c r="J351" i="1" s="1"/>
  <c r="H352" i="1"/>
  <c r="J352" i="1"/>
  <c r="H353" i="1"/>
  <c r="J353" i="1" s="1"/>
  <c r="H354" i="1"/>
  <c r="H355" i="1"/>
  <c r="J355" i="1"/>
  <c r="H356" i="1"/>
  <c r="J356" i="1" s="1"/>
  <c r="H357" i="1"/>
  <c r="J357" i="1" s="1"/>
  <c r="H358" i="1"/>
  <c r="H359" i="1"/>
  <c r="J359" i="1" s="1"/>
  <c r="H360" i="1"/>
  <c r="J360" i="1" s="1"/>
  <c r="H361" i="1"/>
  <c r="J361" i="1" s="1"/>
  <c r="H362" i="1"/>
  <c r="H363" i="1"/>
  <c r="J363" i="1" s="1"/>
  <c r="H364" i="1"/>
  <c r="J364" i="1" s="1"/>
  <c r="H365" i="1"/>
  <c r="J365" i="1" s="1"/>
  <c r="H366" i="1"/>
  <c r="H367" i="1"/>
  <c r="J367" i="1" s="1"/>
  <c r="H368" i="1"/>
  <c r="J368" i="1" s="1"/>
  <c r="H369" i="1"/>
  <c r="J369" i="1" s="1"/>
  <c r="H370" i="1"/>
  <c r="H371" i="1"/>
  <c r="J371" i="1" s="1"/>
  <c r="H372" i="1"/>
  <c r="J372" i="1" s="1"/>
  <c r="H373" i="1"/>
  <c r="J373" i="1"/>
  <c r="H374" i="1"/>
  <c r="H375" i="1"/>
  <c r="J375" i="1" s="1"/>
  <c r="H376" i="1"/>
  <c r="J376" i="1" s="1"/>
  <c r="H377" i="1"/>
  <c r="J377" i="1"/>
  <c r="H378" i="1"/>
  <c r="H379" i="1"/>
  <c r="J379" i="1" s="1"/>
  <c r="H380" i="1"/>
  <c r="J380" i="1" s="1"/>
  <c r="H381" i="1"/>
  <c r="J381" i="1" s="1"/>
  <c r="H382" i="1"/>
  <c r="H383" i="1"/>
  <c r="J383" i="1" s="1"/>
  <c r="H384" i="1"/>
  <c r="J384" i="1"/>
  <c r="H385" i="1"/>
  <c r="J385" i="1" s="1"/>
  <c r="H386" i="1"/>
  <c r="H387" i="1"/>
  <c r="J387" i="1"/>
  <c r="H388" i="1"/>
  <c r="J388" i="1" s="1"/>
  <c r="H389" i="1"/>
  <c r="J389" i="1" s="1"/>
  <c r="H390" i="1"/>
  <c r="H391" i="1"/>
  <c r="J391" i="1" s="1"/>
  <c r="H392" i="1"/>
  <c r="J392" i="1" s="1"/>
  <c r="H393" i="1"/>
  <c r="J393" i="1" s="1"/>
  <c r="H394" i="1"/>
  <c r="H395" i="1"/>
  <c r="J395" i="1" s="1"/>
  <c r="H396" i="1"/>
  <c r="J396" i="1" s="1"/>
  <c r="H397" i="1"/>
  <c r="J397" i="1" s="1"/>
  <c r="H398" i="1"/>
  <c r="H399" i="1"/>
  <c r="J399" i="1" s="1"/>
  <c r="H400" i="1"/>
  <c r="J400" i="1" s="1"/>
  <c r="H401" i="1"/>
  <c r="J401" i="1" s="1"/>
  <c r="H402" i="1"/>
  <c r="H403" i="1"/>
  <c r="J403" i="1" s="1"/>
  <c r="H404" i="1"/>
  <c r="J404" i="1" s="1"/>
  <c r="H405" i="1"/>
  <c r="J405" i="1"/>
  <c r="H406" i="1"/>
  <c r="H407" i="1"/>
  <c r="J407" i="1" s="1"/>
  <c r="H408" i="1"/>
  <c r="J408" i="1" s="1"/>
  <c r="H409" i="1"/>
  <c r="J409" i="1"/>
  <c r="H410" i="1"/>
  <c r="H411" i="1"/>
  <c r="J411" i="1" s="1"/>
  <c r="H412" i="1"/>
  <c r="J412" i="1" s="1"/>
  <c r="H413" i="1"/>
  <c r="J413" i="1" s="1"/>
  <c r="H414" i="1"/>
  <c r="H415" i="1"/>
  <c r="J415" i="1" s="1"/>
  <c r="H416" i="1"/>
  <c r="J416" i="1"/>
  <c r="H417" i="1"/>
  <c r="J417" i="1" s="1"/>
  <c r="H418" i="1"/>
  <c r="H419" i="1"/>
  <c r="J419" i="1"/>
  <c r="H420" i="1"/>
  <c r="J420" i="1" s="1"/>
  <c r="H421" i="1"/>
  <c r="J421" i="1" s="1"/>
  <c r="H422" i="1"/>
  <c r="H423" i="1"/>
  <c r="J423" i="1" s="1"/>
  <c r="H424" i="1"/>
  <c r="J424" i="1" s="1"/>
  <c r="H425" i="1"/>
  <c r="J425" i="1" s="1"/>
  <c r="H426" i="1"/>
  <c r="H427" i="1"/>
  <c r="J427" i="1" s="1"/>
  <c r="H428" i="1"/>
  <c r="J428" i="1" s="1"/>
  <c r="H429" i="1"/>
  <c r="J429" i="1" s="1"/>
  <c r="H430" i="1"/>
  <c r="H431" i="1"/>
  <c r="J431" i="1" s="1"/>
  <c r="H432" i="1"/>
  <c r="J432" i="1" s="1"/>
  <c r="H433" i="1"/>
  <c r="J433" i="1" s="1"/>
  <c r="H434" i="1"/>
  <c r="H435" i="1"/>
  <c r="J435" i="1" s="1"/>
  <c r="H436" i="1"/>
  <c r="J436" i="1" s="1"/>
  <c r="H437" i="1"/>
  <c r="J437" i="1"/>
  <c r="H438" i="1"/>
  <c r="H439" i="1"/>
  <c r="J439" i="1" s="1"/>
  <c r="H440" i="1"/>
  <c r="J440" i="1" s="1"/>
  <c r="H441" i="1"/>
  <c r="J441" i="1"/>
  <c r="H442" i="1"/>
  <c r="H443" i="1"/>
  <c r="J443" i="1" s="1"/>
  <c r="H444" i="1"/>
  <c r="J444" i="1" s="1"/>
  <c r="H445" i="1"/>
  <c r="J445" i="1" s="1"/>
  <c r="H446" i="1"/>
  <c r="H447" i="1"/>
  <c r="J447" i="1" s="1"/>
  <c r="H448" i="1"/>
  <c r="J448" i="1"/>
  <c r="H449" i="1"/>
  <c r="J449" i="1" s="1"/>
  <c r="H450" i="1"/>
  <c r="H451" i="1"/>
  <c r="J451" i="1"/>
  <c r="H452" i="1"/>
  <c r="J452" i="1" s="1"/>
  <c r="H453" i="1"/>
  <c r="J453" i="1" s="1"/>
  <c r="H454" i="1"/>
  <c r="H455" i="1"/>
  <c r="J455" i="1" s="1"/>
  <c r="H456" i="1"/>
  <c r="J456" i="1" s="1"/>
  <c r="H457" i="1"/>
  <c r="J457" i="1" s="1"/>
  <c r="H458" i="1"/>
  <c r="H459" i="1"/>
  <c r="J459" i="1" s="1"/>
  <c r="H460" i="1"/>
  <c r="J460" i="1" s="1"/>
  <c r="H461" i="1"/>
  <c r="J461" i="1" s="1"/>
  <c r="H462" i="1"/>
  <c r="H463" i="1"/>
  <c r="J463" i="1" s="1"/>
  <c r="H464" i="1"/>
  <c r="J464" i="1" s="1"/>
  <c r="H465" i="1"/>
  <c r="J465" i="1" s="1"/>
  <c r="H466" i="1"/>
  <c r="H467" i="1"/>
  <c r="J467" i="1" s="1"/>
  <c r="H468" i="1"/>
  <c r="J468" i="1" s="1"/>
  <c r="H469" i="1"/>
  <c r="J469" i="1"/>
  <c r="H470" i="1"/>
  <c r="H471" i="1"/>
  <c r="J471" i="1" s="1"/>
  <c r="H472" i="1"/>
  <c r="J472" i="1" s="1"/>
  <c r="H473" i="1"/>
  <c r="J473" i="1"/>
  <c r="H474" i="1"/>
  <c r="H475" i="1"/>
  <c r="J475" i="1" s="1"/>
  <c r="H476" i="1"/>
  <c r="J476" i="1" s="1"/>
  <c r="H477" i="1"/>
  <c r="J477" i="1" s="1"/>
  <c r="H478" i="1"/>
  <c r="H479" i="1"/>
  <c r="J479" i="1" s="1"/>
  <c r="H480" i="1"/>
  <c r="J480" i="1"/>
  <c r="H481" i="1"/>
  <c r="J481" i="1" s="1"/>
  <c r="H482" i="1"/>
  <c r="H483" i="1"/>
  <c r="J483" i="1"/>
  <c r="H484" i="1"/>
  <c r="J484" i="1" s="1"/>
  <c r="H485" i="1"/>
  <c r="J485" i="1" s="1"/>
  <c r="H486" i="1"/>
  <c r="H487" i="1"/>
  <c r="J487" i="1" s="1"/>
  <c r="H488" i="1"/>
  <c r="J488" i="1" s="1"/>
  <c r="H489" i="1"/>
  <c r="J489" i="1" s="1"/>
  <c r="H490" i="1"/>
  <c r="H491" i="1"/>
  <c r="J491" i="1" s="1"/>
  <c r="H492" i="1"/>
  <c r="J492" i="1" s="1"/>
  <c r="H493" i="1"/>
  <c r="J493" i="1" s="1"/>
  <c r="H494" i="1"/>
  <c r="H495" i="1"/>
  <c r="J495" i="1" s="1"/>
  <c r="H496" i="1"/>
  <c r="J496" i="1" s="1"/>
  <c r="H497" i="1"/>
  <c r="J497" i="1" s="1"/>
  <c r="H498" i="1"/>
  <c r="H499" i="1"/>
  <c r="J499" i="1" s="1"/>
  <c r="H500" i="1"/>
  <c r="J500" i="1" s="1"/>
  <c r="H501" i="1"/>
  <c r="J501" i="1"/>
  <c r="H502" i="1"/>
  <c r="H503" i="1"/>
  <c r="J503" i="1" s="1"/>
  <c r="H504" i="1"/>
  <c r="J504" i="1" s="1"/>
  <c r="H505" i="1"/>
  <c r="J505" i="1"/>
  <c r="H506" i="1"/>
  <c r="H507" i="1"/>
  <c r="J507" i="1" s="1"/>
  <c r="H508" i="1"/>
  <c r="J508" i="1" s="1"/>
  <c r="H509" i="1"/>
  <c r="J509" i="1" s="1"/>
  <c r="H510" i="1"/>
  <c r="H511" i="1"/>
  <c r="J511" i="1" s="1"/>
  <c r="H512" i="1"/>
  <c r="J512" i="1"/>
  <c r="H513" i="1"/>
  <c r="J513" i="1" s="1"/>
  <c r="H514" i="1"/>
  <c r="H515" i="1"/>
  <c r="J515" i="1"/>
  <c r="H516" i="1"/>
  <c r="J516" i="1" s="1"/>
  <c r="H517" i="1"/>
  <c r="J517" i="1" s="1"/>
  <c r="H518" i="1"/>
  <c r="H519" i="1"/>
  <c r="J519" i="1" s="1"/>
  <c r="H520" i="1"/>
  <c r="J520" i="1" s="1"/>
  <c r="H521" i="1"/>
  <c r="J521" i="1" s="1"/>
  <c r="H522" i="1"/>
  <c r="H523" i="1"/>
  <c r="J523" i="1" s="1"/>
  <c r="H524" i="1"/>
  <c r="J524" i="1" s="1"/>
  <c r="H525" i="1"/>
  <c r="J525" i="1" s="1"/>
  <c r="H526" i="1"/>
  <c r="H527" i="1"/>
  <c r="J527" i="1" s="1"/>
  <c r="H528" i="1"/>
  <c r="J528" i="1" s="1"/>
  <c r="H529" i="1"/>
  <c r="J529" i="1" s="1"/>
  <c r="H530" i="1"/>
  <c r="H531" i="1"/>
  <c r="J531" i="1" s="1"/>
  <c r="H532" i="1"/>
  <c r="J532" i="1" s="1"/>
  <c r="H533" i="1"/>
  <c r="J533" i="1"/>
  <c r="H534" i="1"/>
  <c r="H535" i="1"/>
  <c r="J535" i="1" s="1"/>
  <c r="H536" i="1"/>
  <c r="J536" i="1" s="1"/>
  <c r="H537" i="1"/>
  <c r="J537" i="1"/>
  <c r="H538" i="1"/>
  <c r="H539" i="1"/>
  <c r="J539" i="1" s="1"/>
  <c r="H540" i="1"/>
  <c r="J540" i="1" s="1"/>
  <c r="H541" i="1"/>
  <c r="J541" i="1" s="1"/>
  <c r="H542" i="1"/>
  <c r="H543" i="1"/>
  <c r="J543" i="1" s="1"/>
  <c r="H544" i="1"/>
  <c r="J544" i="1"/>
  <c r="H545" i="1"/>
  <c r="J545" i="1" s="1"/>
  <c r="H546" i="1"/>
  <c r="H547" i="1"/>
  <c r="J547" i="1"/>
  <c r="H548" i="1"/>
  <c r="J548" i="1" s="1"/>
  <c r="H549" i="1"/>
  <c r="J549" i="1" s="1"/>
  <c r="H550" i="1"/>
  <c r="H551" i="1"/>
  <c r="J551" i="1" s="1"/>
  <c r="H552" i="1"/>
  <c r="J552" i="1" s="1"/>
  <c r="H553" i="1"/>
  <c r="J553" i="1" s="1"/>
  <c r="H554" i="1"/>
  <c r="H555" i="1"/>
  <c r="J555" i="1" s="1"/>
  <c r="H556" i="1"/>
  <c r="J556" i="1" s="1"/>
  <c r="H557" i="1"/>
  <c r="J557" i="1" s="1"/>
  <c r="H558" i="1"/>
  <c r="H559" i="1"/>
  <c r="J559" i="1" s="1"/>
  <c r="H560" i="1"/>
  <c r="J560" i="1" s="1"/>
  <c r="H561" i="1"/>
  <c r="J561" i="1" s="1"/>
  <c r="H562" i="1"/>
  <c r="H563" i="1"/>
  <c r="J563" i="1" s="1"/>
  <c r="H564" i="1"/>
  <c r="J564" i="1" s="1"/>
  <c r="H565" i="1"/>
  <c r="J565" i="1"/>
  <c r="H566" i="1"/>
  <c r="H567" i="1"/>
  <c r="J567" i="1" s="1"/>
  <c r="H568" i="1"/>
  <c r="J568" i="1" s="1"/>
  <c r="H569" i="1"/>
  <c r="J569" i="1"/>
  <c r="H570" i="1"/>
  <c r="H571" i="1"/>
  <c r="J571" i="1" s="1"/>
  <c r="H572" i="1"/>
  <c r="J572" i="1" s="1"/>
  <c r="H573" i="1"/>
  <c r="J573" i="1" s="1"/>
  <c r="H574" i="1"/>
  <c r="H575" i="1"/>
  <c r="J575" i="1" s="1"/>
  <c r="H576" i="1"/>
  <c r="J576" i="1"/>
  <c r="H577" i="1"/>
  <c r="J577" i="1" s="1"/>
  <c r="H578" i="1"/>
  <c r="H579" i="1"/>
  <c r="J579" i="1"/>
  <c r="H580" i="1"/>
  <c r="J580" i="1" s="1"/>
  <c r="H581" i="1"/>
  <c r="J581" i="1" s="1"/>
  <c r="H582" i="1"/>
  <c r="H583" i="1"/>
  <c r="J583" i="1" s="1"/>
  <c r="H584" i="1"/>
  <c r="J584" i="1" s="1"/>
  <c r="H585" i="1"/>
  <c r="J585" i="1" s="1"/>
  <c r="H586" i="1"/>
  <c r="H587" i="1"/>
  <c r="J587" i="1" s="1"/>
  <c r="H588" i="1"/>
  <c r="J588" i="1" s="1"/>
  <c r="H589" i="1"/>
  <c r="J589" i="1" s="1"/>
  <c r="H590" i="1"/>
  <c r="H591" i="1"/>
  <c r="J591" i="1" s="1"/>
  <c r="H592" i="1"/>
  <c r="J592" i="1"/>
  <c r="H593" i="1"/>
  <c r="J593" i="1" s="1"/>
  <c r="H594" i="1"/>
  <c r="H595" i="1"/>
  <c r="J595" i="1" s="1"/>
  <c r="H596" i="1"/>
  <c r="J596" i="1" s="1"/>
  <c r="H597" i="1"/>
  <c r="J597" i="1" s="1"/>
  <c r="H598" i="1"/>
  <c r="H599" i="1"/>
  <c r="J599" i="1" s="1"/>
  <c r="H600" i="1"/>
  <c r="J600" i="1" s="1"/>
  <c r="H601" i="1"/>
  <c r="J601" i="1" s="1"/>
  <c r="H602" i="1"/>
  <c r="H603" i="1"/>
  <c r="J603" i="1" s="1"/>
  <c r="H604" i="1"/>
  <c r="J604" i="1" s="1"/>
  <c r="H605" i="1"/>
  <c r="J605" i="1" s="1"/>
  <c r="H606" i="1"/>
  <c r="H607" i="1"/>
  <c r="J607" i="1"/>
  <c r="H608" i="1"/>
  <c r="J608" i="1" s="1"/>
  <c r="H609" i="1"/>
  <c r="J609" i="1"/>
  <c r="H610" i="1"/>
  <c r="H611" i="1"/>
  <c r="J611" i="1" s="1"/>
  <c r="H612" i="1"/>
  <c r="J612" i="1" s="1"/>
  <c r="H613" i="1"/>
  <c r="J613" i="1" s="1"/>
  <c r="H614" i="1"/>
  <c r="H615" i="1"/>
  <c r="J615" i="1" s="1"/>
  <c r="H616" i="1"/>
  <c r="J616" i="1" s="1"/>
  <c r="H617" i="1"/>
  <c r="J617" i="1" s="1"/>
  <c r="H618" i="1"/>
  <c r="H619" i="1"/>
  <c r="J619" i="1" s="1"/>
  <c r="H620" i="1"/>
  <c r="J620" i="1" s="1"/>
  <c r="H621" i="1"/>
  <c r="J621" i="1" s="1"/>
  <c r="H622" i="1"/>
  <c r="H623" i="1"/>
  <c r="J623" i="1"/>
  <c r="H624" i="1"/>
  <c r="J624" i="1" s="1"/>
  <c r="H625" i="1"/>
  <c r="J625" i="1"/>
  <c r="H626" i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H635" i="1"/>
  <c r="J635" i="1" s="1"/>
  <c r="H636" i="1"/>
  <c r="J636" i="1" s="1"/>
  <c r="H637" i="1"/>
  <c r="J637" i="1" s="1"/>
  <c r="H638" i="1"/>
  <c r="H639" i="1"/>
  <c r="J639" i="1" s="1"/>
  <c r="H640" i="1"/>
  <c r="J640" i="1"/>
  <c r="H641" i="1"/>
  <c r="J641" i="1" s="1"/>
  <c r="H642" i="1"/>
  <c r="H643" i="1"/>
  <c r="J643" i="1" s="1"/>
  <c r="H644" i="1"/>
  <c r="J644" i="1" s="1"/>
  <c r="H645" i="1"/>
  <c r="J645" i="1" s="1"/>
  <c r="H646" i="1"/>
  <c r="H647" i="1"/>
  <c r="J647" i="1" s="1"/>
  <c r="H648" i="1"/>
  <c r="J648" i="1" s="1"/>
  <c r="H649" i="1"/>
  <c r="J649" i="1" s="1"/>
  <c r="H650" i="1"/>
  <c r="H651" i="1"/>
  <c r="J651" i="1" s="1"/>
  <c r="H652" i="1"/>
  <c r="J652" i="1" s="1"/>
  <c r="H653" i="1"/>
  <c r="J653" i="1" s="1"/>
  <c r="H654" i="1"/>
  <c r="H655" i="1"/>
  <c r="J655" i="1" s="1"/>
  <c r="H656" i="1"/>
  <c r="J656" i="1"/>
  <c r="H657" i="1"/>
  <c r="J657" i="1" s="1"/>
  <c r="H658" i="1"/>
  <c r="H659" i="1"/>
  <c r="J659" i="1" s="1"/>
  <c r="H660" i="1"/>
  <c r="J660" i="1" s="1"/>
  <c r="H661" i="1"/>
  <c r="J661" i="1" s="1"/>
  <c r="H662" i="1"/>
  <c r="H663" i="1"/>
  <c r="J663" i="1" s="1"/>
  <c r="H664" i="1"/>
  <c r="J664" i="1" s="1"/>
  <c r="H665" i="1"/>
  <c r="J665" i="1" s="1"/>
  <c r="H666" i="1"/>
  <c r="H667" i="1"/>
  <c r="J667" i="1" s="1"/>
  <c r="H668" i="1"/>
  <c r="J668" i="1" s="1"/>
  <c r="H669" i="1"/>
  <c r="J669" i="1" s="1"/>
  <c r="H670" i="1"/>
  <c r="H671" i="1"/>
  <c r="J671" i="1"/>
  <c r="H672" i="1"/>
  <c r="J672" i="1" s="1"/>
  <c r="H673" i="1"/>
  <c r="J673" i="1"/>
  <c r="H674" i="1"/>
  <c r="H675" i="1"/>
  <c r="J675" i="1" s="1"/>
  <c r="H676" i="1"/>
  <c r="J676" i="1" s="1"/>
  <c r="H677" i="1"/>
  <c r="J677" i="1" s="1"/>
  <c r="H678" i="1"/>
  <c r="J678" i="1" s="1"/>
  <c r="H679" i="1"/>
  <c r="J679" i="1" s="1"/>
  <c r="H680" i="1"/>
  <c r="J680" i="1" s="1"/>
  <c r="H681" i="1"/>
  <c r="J681" i="1" s="1"/>
  <c r="H682" i="1"/>
  <c r="H683" i="1"/>
  <c r="J683" i="1" s="1"/>
  <c r="H684" i="1"/>
  <c r="J684" i="1" s="1"/>
  <c r="H685" i="1"/>
  <c r="J685" i="1" s="1"/>
  <c r="H686" i="1"/>
  <c r="H687" i="1"/>
  <c r="J687" i="1"/>
  <c r="H688" i="1"/>
  <c r="J688" i="1" s="1"/>
  <c r="H689" i="1"/>
  <c r="J689" i="1"/>
  <c r="H690" i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H699" i="1"/>
  <c r="J699" i="1" s="1"/>
  <c r="H700" i="1"/>
  <c r="J700" i="1" s="1"/>
  <c r="H701" i="1"/>
  <c r="J701" i="1" s="1"/>
  <c r="H702" i="1"/>
  <c r="H703" i="1"/>
  <c r="J703" i="1" s="1"/>
  <c r="H704" i="1"/>
  <c r="J704" i="1"/>
  <c r="H705" i="1"/>
  <c r="J705" i="1" s="1"/>
  <c r="H706" i="1"/>
  <c r="H707" i="1"/>
  <c r="J707" i="1" s="1"/>
  <c r="H708" i="1"/>
  <c r="J708" i="1" s="1"/>
  <c r="H709" i="1"/>
  <c r="J709" i="1" s="1"/>
  <c r="H710" i="1"/>
  <c r="H711" i="1"/>
  <c r="J711" i="1" s="1"/>
  <c r="H712" i="1"/>
  <c r="J712" i="1" s="1"/>
  <c r="H713" i="1"/>
  <c r="J713" i="1" s="1"/>
  <c r="H714" i="1"/>
  <c r="H715" i="1"/>
  <c r="J715" i="1" s="1"/>
  <c r="H716" i="1"/>
  <c r="J716" i="1" s="1"/>
  <c r="H717" i="1"/>
  <c r="J717" i="1" s="1"/>
  <c r="H718" i="1"/>
  <c r="H719" i="1"/>
  <c r="J719" i="1" s="1"/>
  <c r="H720" i="1"/>
  <c r="J720" i="1"/>
  <c r="H721" i="1"/>
  <c r="J721" i="1" s="1"/>
  <c r="H722" i="1"/>
  <c r="H723" i="1"/>
  <c r="J723" i="1" s="1"/>
  <c r="H724" i="1"/>
  <c r="J724" i="1" s="1"/>
  <c r="H725" i="1"/>
  <c r="J725" i="1" s="1"/>
  <c r="H726" i="1"/>
  <c r="H727" i="1"/>
  <c r="J727" i="1" s="1"/>
  <c r="H728" i="1"/>
  <c r="J728" i="1" s="1"/>
  <c r="H729" i="1"/>
  <c r="J729" i="1" s="1"/>
  <c r="H730" i="1"/>
  <c r="H731" i="1"/>
  <c r="J731" i="1" s="1"/>
  <c r="H732" i="1"/>
  <c r="J732" i="1" s="1"/>
  <c r="H733" i="1"/>
  <c r="J733" i="1" s="1"/>
  <c r="H734" i="1"/>
  <c r="H735" i="1"/>
  <c r="J735" i="1"/>
  <c r="H736" i="1"/>
  <c r="J736" i="1" s="1"/>
  <c r="H737" i="1"/>
  <c r="J737" i="1"/>
  <c r="H738" i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H747" i="1"/>
  <c r="J747" i="1" s="1"/>
  <c r="H748" i="1"/>
  <c r="J748" i="1" s="1"/>
  <c r="H749" i="1"/>
  <c r="J749" i="1" s="1"/>
  <c r="H750" i="1"/>
  <c r="H751" i="1"/>
  <c r="J751" i="1"/>
  <c r="H752" i="1"/>
  <c r="J752" i="1" s="1"/>
  <c r="H753" i="1"/>
  <c r="J753" i="1"/>
  <c r="H754" i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H763" i="1"/>
  <c r="J763" i="1" s="1"/>
  <c r="H764" i="1"/>
  <c r="J764" i="1" s="1"/>
  <c r="H765" i="1"/>
  <c r="J765" i="1" s="1"/>
  <c r="H766" i="1"/>
  <c r="H767" i="1"/>
  <c r="J767" i="1" s="1"/>
  <c r="H768" i="1"/>
  <c r="J768" i="1"/>
  <c r="H769" i="1"/>
  <c r="J769" i="1" s="1"/>
  <c r="H770" i="1"/>
  <c r="H771" i="1"/>
  <c r="J771" i="1" s="1"/>
  <c r="H772" i="1"/>
  <c r="J772" i="1" s="1"/>
  <c r="H773" i="1"/>
  <c r="J773" i="1" s="1"/>
  <c r="H774" i="1"/>
  <c r="H775" i="1"/>
  <c r="J775" i="1" s="1"/>
  <c r="H776" i="1"/>
  <c r="J776" i="1" s="1"/>
  <c r="H777" i="1"/>
  <c r="J777" i="1" s="1"/>
  <c r="H778" i="1"/>
  <c r="H779" i="1"/>
  <c r="J779" i="1" s="1"/>
  <c r="H780" i="1"/>
  <c r="J780" i="1" s="1"/>
  <c r="H781" i="1"/>
  <c r="J781" i="1" s="1"/>
  <c r="H782" i="1"/>
  <c r="H783" i="1"/>
  <c r="J783" i="1" s="1"/>
  <c r="H784" i="1"/>
  <c r="J784" i="1"/>
  <c r="H785" i="1"/>
  <c r="J785" i="1" s="1"/>
  <c r="H786" i="1"/>
  <c r="H787" i="1"/>
  <c r="J787" i="1" s="1"/>
  <c r="H788" i="1"/>
  <c r="J788" i="1" s="1"/>
  <c r="H789" i="1"/>
  <c r="J789" i="1" s="1"/>
  <c r="H790" i="1"/>
  <c r="H791" i="1"/>
  <c r="J791" i="1" s="1"/>
  <c r="H792" i="1"/>
  <c r="J792" i="1" s="1"/>
  <c r="H793" i="1"/>
  <c r="J793" i="1" s="1"/>
  <c r="H794" i="1"/>
  <c r="H795" i="1"/>
  <c r="J795" i="1" s="1"/>
  <c r="H796" i="1"/>
  <c r="J796" i="1" s="1"/>
  <c r="H797" i="1"/>
  <c r="J797" i="1" s="1"/>
  <c r="H798" i="1"/>
  <c r="H799" i="1"/>
  <c r="J799" i="1"/>
  <c r="H800" i="1"/>
  <c r="J800" i="1" s="1"/>
  <c r="H801" i="1"/>
  <c r="J801" i="1"/>
  <c r="H802" i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 s="1"/>
  <c r="H809" i="1"/>
  <c r="J809" i="1" s="1"/>
  <c r="H810" i="1"/>
  <c r="H811" i="1"/>
  <c r="J811" i="1" s="1"/>
  <c r="H812" i="1"/>
  <c r="J812" i="1" s="1"/>
  <c r="H813" i="1"/>
  <c r="J813" i="1" s="1"/>
  <c r="H814" i="1"/>
  <c r="H815" i="1"/>
  <c r="J815" i="1"/>
  <c r="H816" i="1"/>
  <c r="J816" i="1" s="1"/>
  <c r="H817" i="1"/>
  <c r="J817" i="1"/>
  <c r="H818" i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H827" i="1"/>
  <c r="J827" i="1" s="1"/>
  <c r="H828" i="1"/>
  <c r="J828" i="1" s="1"/>
  <c r="H829" i="1"/>
  <c r="J829" i="1" s="1"/>
  <c r="H830" i="1"/>
  <c r="H831" i="1"/>
  <c r="J831" i="1" s="1"/>
  <c r="H832" i="1"/>
  <c r="J832" i="1"/>
  <c r="H833" i="1"/>
  <c r="J833" i="1" s="1"/>
  <c r="H834" i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H843" i="1"/>
  <c r="J843" i="1" s="1"/>
  <c r="H844" i="1"/>
  <c r="J844" i="1" s="1"/>
  <c r="H845" i="1"/>
  <c r="J845" i="1" s="1"/>
  <c r="H846" i="1"/>
  <c r="H847" i="1"/>
  <c r="J847" i="1" s="1"/>
  <c r="H848" i="1"/>
  <c r="J848" i="1"/>
  <c r="H849" i="1"/>
  <c r="J849" i="1" s="1"/>
  <c r="H850" i="1"/>
  <c r="H851" i="1"/>
  <c r="J851" i="1" s="1"/>
  <c r="H852" i="1"/>
  <c r="J852" i="1" s="1"/>
  <c r="H853" i="1"/>
  <c r="J853" i="1" s="1"/>
  <c r="H854" i="1"/>
  <c r="H855" i="1"/>
  <c r="J855" i="1" s="1"/>
  <c r="H856" i="1"/>
  <c r="J856" i="1" s="1"/>
  <c r="H857" i="1"/>
  <c r="J857" i="1" s="1"/>
  <c r="H858" i="1"/>
  <c r="H859" i="1"/>
  <c r="J859" i="1" s="1"/>
  <c r="H860" i="1"/>
  <c r="J860" i="1" s="1"/>
  <c r="H861" i="1"/>
  <c r="J861" i="1" s="1"/>
  <c r="H862" i="1"/>
  <c r="H863" i="1"/>
  <c r="J863" i="1"/>
  <c r="H864" i="1"/>
  <c r="J864" i="1" s="1"/>
  <c r="H865" i="1"/>
  <c r="J865" i="1"/>
  <c r="H866" i="1"/>
  <c r="H867" i="1"/>
  <c r="J867" i="1" s="1"/>
  <c r="H868" i="1"/>
  <c r="J868" i="1" s="1"/>
  <c r="H869" i="1"/>
  <c r="J869" i="1" s="1"/>
  <c r="H871" i="1"/>
  <c r="J871" i="1" s="1"/>
  <c r="H873" i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 s="1"/>
  <c r="H887" i="1"/>
  <c r="J887" i="1" s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J943" i="1"/>
  <c r="J944" i="1"/>
  <c r="J945" i="1"/>
  <c r="J947" i="1"/>
  <c r="J948" i="1"/>
  <c r="J949" i="1"/>
  <c r="J951" i="1"/>
  <c r="J952" i="1"/>
  <c r="J953" i="1"/>
  <c r="J955" i="1"/>
  <c r="J956" i="1"/>
  <c r="J957" i="1"/>
  <c r="J959" i="1"/>
  <c r="J960" i="1"/>
  <c r="J961" i="1"/>
  <c r="J963" i="1"/>
  <c r="J964" i="1"/>
  <c r="J965" i="1"/>
  <c r="J967" i="1"/>
  <c r="J968" i="1"/>
  <c r="J969" i="1"/>
  <c r="J971" i="1"/>
  <c r="J972" i="1"/>
  <c r="J973" i="1"/>
  <c r="J975" i="1"/>
  <c r="J976" i="1"/>
  <c r="J977" i="1"/>
  <c r="J979" i="1"/>
  <c r="J980" i="1"/>
  <c r="J981" i="1"/>
  <c r="J983" i="1"/>
  <c r="J984" i="1"/>
  <c r="J985" i="1"/>
  <c r="J987" i="1"/>
  <c r="J988" i="1"/>
  <c r="J989" i="1"/>
  <c r="J991" i="1"/>
  <c r="J992" i="1"/>
  <c r="J993" i="1"/>
  <c r="J995" i="1"/>
  <c r="J996" i="1"/>
  <c r="J997" i="1"/>
  <c r="J999" i="1"/>
  <c r="J1000" i="1"/>
  <c r="J1001" i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H23" i="1"/>
  <c r="J23" i="1" s="1"/>
  <c r="H24" i="1"/>
  <c r="J24" i="1" s="1"/>
  <c r="H25" i="1"/>
  <c r="J25" i="1"/>
  <c r="H26" i="1"/>
  <c r="J26" i="1" s="1"/>
  <c r="H27" i="1"/>
  <c r="J27" i="1" s="1"/>
  <c r="H28" i="1"/>
  <c r="J28" i="1"/>
  <c r="H29" i="1"/>
  <c r="J29" i="1" s="1"/>
  <c r="H30" i="1"/>
  <c r="H31" i="1"/>
  <c r="J31" i="1"/>
  <c r="H32" i="1"/>
  <c r="J32" i="1" s="1"/>
  <c r="H33" i="1"/>
  <c r="J33" i="1" s="1"/>
  <c r="H34" i="1"/>
  <c r="H35" i="1"/>
  <c r="J35" i="1" s="1"/>
  <c r="H36" i="1"/>
  <c r="J36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H52" i="1"/>
  <c r="J52" i="1"/>
  <c r="H53" i="1"/>
  <c r="J53" i="1"/>
  <c r="H54" i="1"/>
  <c r="J54" i="1"/>
  <c r="H55" i="1"/>
  <c r="H56" i="1"/>
  <c r="J56" i="1" s="1"/>
  <c r="H57" i="1"/>
  <c r="J57" i="1" s="1"/>
  <c r="H58" i="1"/>
  <c r="J58" i="1" s="1"/>
  <c r="H59" i="1"/>
  <c r="H60" i="1"/>
  <c r="J60" i="1" s="1"/>
  <c r="H61" i="1"/>
  <c r="J61" i="1" s="1"/>
  <c r="H62" i="1"/>
  <c r="J62" i="1" s="1"/>
  <c r="H63" i="1"/>
  <c r="H64" i="1"/>
  <c r="J64" i="1" s="1"/>
  <c r="H65" i="1"/>
  <c r="J65" i="1" s="1"/>
  <c r="H66" i="1"/>
  <c r="J66" i="1" s="1"/>
  <c r="H67" i="1"/>
  <c r="H68" i="1"/>
  <c r="J68" i="1"/>
  <c r="H69" i="1"/>
  <c r="J69" i="1" s="1"/>
  <c r="H70" i="1"/>
  <c r="J70" i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H84" i="1"/>
  <c r="J84" i="1"/>
  <c r="H85" i="1"/>
  <c r="J85" i="1"/>
  <c r="H86" i="1"/>
  <c r="J86" i="1"/>
  <c r="H87" i="1"/>
  <c r="H88" i="1"/>
  <c r="H89" i="1"/>
  <c r="J89" i="1"/>
  <c r="H90" i="1"/>
  <c r="J90" i="1"/>
  <c r="H91" i="1"/>
  <c r="H92" i="1"/>
  <c r="J92" i="1" s="1"/>
  <c r="H93" i="1"/>
  <c r="J93" i="1" s="1"/>
  <c r="H94" i="1"/>
  <c r="J94" i="1" s="1"/>
  <c r="H95" i="1"/>
  <c r="H96" i="1"/>
  <c r="J96" i="1" s="1"/>
  <c r="H97" i="1"/>
  <c r="J97" i="1" s="1"/>
  <c r="H98" i="1"/>
  <c r="J98" i="1" s="1"/>
  <c r="H99" i="1"/>
  <c r="H100" i="1"/>
  <c r="J100" i="1" s="1"/>
  <c r="H101" i="1"/>
  <c r="J101" i="1" s="1"/>
  <c r="H102" i="1"/>
  <c r="J102" i="1" s="1"/>
  <c r="H103" i="1"/>
  <c r="J103" i="1" s="1"/>
  <c r="H104" i="1"/>
  <c r="J104" i="1"/>
  <c r="H105" i="1"/>
  <c r="J105" i="1" s="1"/>
  <c r="H106" i="1"/>
  <c r="J106" i="1"/>
  <c r="H107" i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H116" i="1"/>
  <c r="J116" i="1" s="1"/>
  <c r="H117" i="1"/>
  <c r="J117" i="1" s="1"/>
  <c r="H118" i="1"/>
  <c r="J118" i="1" s="1"/>
  <c r="H119" i="1"/>
  <c r="J119" i="1" s="1"/>
  <c r="H120" i="1"/>
  <c r="J120" i="1"/>
  <c r="H121" i="1"/>
  <c r="J121" i="1"/>
  <c r="H122" i="1"/>
  <c r="J122" i="1"/>
  <c r="H123" i="1"/>
  <c r="H124" i="1"/>
  <c r="J124" i="1" s="1"/>
  <c r="H125" i="1"/>
  <c r="J125" i="1" s="1"/>
  <c r="H126" i="1"/>
  <c r="J126" i="1" s="1"/>
  <c r="H127" i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/>
  <c r="H138" i="1"/>
  <c r="J138" i="1" s="1"/>
  <c r="H139" i="1"/>
  <c r="H140" i="1"/>
  <c r="J140" i="1" s="1"/>
  <c r="H141" i="1"/>
  <c r="J141" i="1" s="1"/>
  <c r="H142" i="1"/>
  <c r="J142" i="1" s="1"/>
  <c r="H143" i="1"/>
  <c r="H144" i="1"/>
  <c r="J144" i="1" s="1"/>
  <c r="H145" i="1"/>
  <c r="J145" i="1" s="1"/>
  <c r="H146" i="1"/>
  <c r="J146" i="1" s="1"/>
  <c r="H147" i="1"/>
  <c r="H148" i="1"/>
  <c r="J148" i="1" s="1"/>
  <c r="H149" i="1"/>
  <c r="J149" i="1" s="1"/>
  <c r="H150" i="1"/>
  <c r="J150" i="1" s="1"/>
  <c r="H151" i="1"/>
  <c r="J151" i="1" s="1"/>
  <c r="H152" i="1"/>
  <c r="J152" i="1"/>
  <c r="H153" i="1"/>
  <c r="J153" i="1"/>
  <c r="H154" i="1"/>
  <c r="J154" i="1"/>
  <c r="H155" i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H168" i="1"/>
  <c r="J168" i="1"/>
  <c r="H169" i="1"/>
  <c r="J169" i="1" s="1"/>
  <c r="H170" i="1"/>
  <c r="J170" i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/>
  <c r="H185" i="1"/>
  <c r="J185" i="1"/>
  <c r="H186" i="1"/>
  <c r="J186" i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/>
  <c r="H202" i="1"/>
  <c r="J202" i="1" s="1"/>
  <c r="H203" i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/>
  <c r="H218" i="1"/>
  <c r="J218" i="1" s="1"/>
  <c r="H219" i="1"/>
  <c r="J219" i="1"/>
  <c r="H220" i="1"/>
  <c r="J220" i="1" s="1"/>
  <c r="H222" i="1"/>
  <c r="J222" i="1"/>
  <c r="H223" i="1"/>
  <c r="J223" i="1" s="1"/>
  <c r="H224" i="1"/>
  <c r="J224" i="1"/>
  <c r="H225" i="1"/>
  <c r="J225" i="1" s="1"/>
  <c r="H226" i="1"/>
  <c r="J226" i="1"/>
  <c r="H227" i="1"/>
  <c r="J227" i="1" s="1"/>
  <c r="H228" i="1"/>
  <c r="J228" i="1"/>
  <c r="H229" i="1"/>
  <c r="J229" i="1" s="1"/>
  <c r="H230" i="1"/>
  <c r="J230" i="1"/>
  <c r="H231" i="1"/>
  <c r="J231" i="1" s="1"/>
  <c r="H232" i="1"/>
  <c r="J232" i="1"/>
  <c r="H233" i="1"/>
  <c r="J233" i="1" s="1"/>
  <c r="H234" i="1"/>
  <c r="J234" i="1"/>
  <c r="H235" i="1"/>
  <c r="J235" i="1" s="1"/>
  <c r="H236" i="1"/>
  <c r="J236" i="1"/>
  <c r="H237" i="1"/>
  <c r="J237" i="1" s="1"/>
  <c r="H238" i="1"/>
  <c r="J238" i="1"/>
  <c r="J937" i="1"/>
  <c r="J933" i="1"/>
  <c r="J929" i="1"/>
  <c r="J925" i="1"/>
  <c r="J905" i="1"/>
  <c r="J245" i="1"/>
  <c r="J5" i="1"/>
  <c r="J247" i="1"/>
  <c r="J243" i="1"/>
  <c r="J904" i="1"/>
  <c r="J908" i="1"/>
  <c r="J912" i="1"/>
  <c r="J916" i="1"/>
  <c r="J920" i="1"/>
  <c r="J924" i="1"/>
  <c r="J928" i="1"/>
  <c r="J932" i="1"/>
  <c r="J936" i="1"/>
  <c r="J940" i="1"/>
  <c r="J211" i="1"/>
  <c r="J203" i="1"/>
  <c r="J167" i="1"/>
  <c r="J155" i="1"/>
  <c r="J147" i="1"/>
  <c r="J143" i="1"/>
  <c r="J139" i="1"/>
  <c r="J127" i="1"/>
  <c r="J123" i="1"/>
  <c r="J115" i="1"/>
  <c r="J107" i="1"/>
  <c r="J99" i="1"/>
  <c r="J95" i="1"/>
  <c r="J91" i="1"/>
  <c r="J87" i="1"/>
  <c r="J83" i="1"/>
  <c r="J67" i="1"/>
  <c r="J63" i="1"/>
  <c r="J59" i="1"/>
  <c r="J55" i="1"/>
  <c r="J51" i="1"/>
  <c r="J43" i="1"/>
  <c r="J34" i="1"/>
  <c r="J30" i="1"/>
  <c r="J22" i="1"/>
  <c r="J14" i="1"/>
  <c r="J998" i="1"/>
  <c r="J994" i="1"/>
  <c r="J990" i="1"/>
  <c r="J986" i="1"/>
  <c r="J982" i="1"/>
  <c r="J978" i="1"/>
  <c r="J974" i="1"/>
  <c r="J970" i="1"/>
  <c r="J966" i="1"/>
  <c r="J962" i="1"/>
  <c r="J958" i="1"/>
  <c r="J954" i="1"/>
  <c r="J950" i="1"/>
  <c r="J946" i="1"/>
  <c r="J873" i="1"/>
  <c r="J239" i="1"/>
  <c r="J866" i="1"/>
  <c r="J862" i="1"/>
  <c r="J858" i="1"/>
  <c r="J854" i="1"/>
  <c r="J850" i="1"/>
  <c r="J846" i="1"/>
  <c r="J842" i="1"/>
  <c r="J834" i="1"/>
  <c r="J830" i="1"/>
  <c r="J826" i="1"/>
  <c r="J818" i="1"/>
  <c r="J814" i="1"/>
  <c r="J810" i="1"/>
  <c r="J802" i="1"/>
  <c r="J798" i="1"/>
  <c r="J794" i="1"/>
  <c r="J790" i="1"/>
  <c r="J786" i="1"/>
  <c r="J782" i="1"/>
  <c r="J778" i="1"/>
  <c r="J774" i="1"/>
  <c r="J770" i="1"/>
  <c r="J766" i="1"/>
  <c r="J762" i="1"/>
  <c r="J754" i="1"/>
  <c r="J750" i="1"/>
  <c r="J746" i="1"/>
  <c r="J738" i="1"/>
  <c r="J734" i="1"/>
  <c r="J730" i="1"/>
  <c r="J726" i="1"/>
  <c r="J722" i="1"/>
  <c r="J718" i="1"/>
  <c r="J714" i="1"/>
  <c r="J710" i="1"/>
  <c r="J706" i="1"/>
  <c r="J702" i="1"/>
  <c r="J698" i="1"/>
  <c r="J690" i="1"/>
  <c r="J686" i="1"/>
  <c r="J682" i="1"/>
  <c r="J674" i="1"/>
  <c r="J670" i="1"/>
  <c r="J666" i="1"/>
  <c r="J662" i="1"/>
  <c r="J658" i="1"/>
  <c r="J654" i="1"/>
  <c r="J650" i="1"/>
  <c r="J646" i="1"/>
  <c r="J642" i="1"/>
  <c r="J638" i="1"/>
  <c r="J634" i="1"/>
  <c r="J626" i="1"/>
  <c r="J622" i="1"/>
  <c r="J618" i="1"/>
  <c r="J614" i="1"/>
  <c r="J610" i="1"/>
  <c r="J606" i="1"/>
  <c r="J602" i="1"/>
  <c r="J598" i="1"/>
  <c r="J594" i="1"/>
  <c r="J590" i="1"/>
  <c r="J586" i="1"/>
  <c r="J582" i="1"/>
  <c r="J578" i="1"/>
  <c r="J574" i="1"/>
  <c r="J570" i="1"/>
  <c r="J566" i="1"/>
  <c r="J562" i="1"/>
  <c r="J558" i="1"/>
  <c r="J554" i="1"/>
  <c r="J550" i="1"/>
  <c r="J546" i="1"/>
  <c r="J542" i="1"/>
  <c r="J538" i="1"/>
  <c r="J534" i="1"/>
  <c r="J530" i="1"/>
  <c r="J526" i="1"/>
  <c r="J522" i="1"/>
  <c r="J518" i="1"/>
  <c r="J514" i="1"/>
  <c r="J510" i="1"/>
  <c r="J506" i="1"/>
  <c r="J502" i="1"/>
  <c r="J498" i="1"/>
  <c r="J494" i="1"/>
  <c r="J490" i="1"/>
  <c r="J486" i="1"/>
  <c r="J482" i="1"/>
  <c r="J478" i="1"/>
  <c r="J474" i="1"/>
  <c r="J470" i="1"/>
  <c r="J466" i="1"/>
  <c r="J462" i="1"/>
  <c r="J458" i="1"/>
  <c r="J454" i="1"/>
  <c r="J450" i="1"/>
  <c r="J446" i="1"/>
  <c r="J442" i="1"/>
  <c r="J438" i="1"/>
  <c r="J434" i="1"/>
  <c r="J430" i="1"/>
  <c r="J426" i="1"/>
  <c r="J422" i="1"/>
  <c r="J418" i="1"/>
  <c r="J414" i="1"/>
  <c r="J410" i="1"/>
  <c r="J406" i="1"/>
  <c r="J402" i="1"/>
  <c r="J398" i="1"/>
  <c r="J394" i="1"/>
  <c r="J390" i="1"/>
  <c r="J386" i="1"/>
  <c r="J382" i="1"/>
  <c r="J378" i="1"/>
  <c r="J374" i="1"/>
  <c r="J370" i="1"/>
  <c r="J366" i="1"/>
  <c r="J362" i="1"/>
  <c r="J358" i="1"/>
  <c r="J354" i="1"/>
  <c r="J350" i="1"/>
  <c r="J346" i="1"/>
  <c r="J342" i="1"/>
  <c r="J338" i="1"/>
  <c r="J334" i="1"/>
  <c r="J330" i="1"/>
  <c r="J326" i="1"/>
  <c r="J322" i="1"/>
  <c r="J318" i="1"/>
  <c r="J314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330" i="2" l="1"/>
  <c r="J326" i="2"/>
  <c r="J322" i="2"/>
  <c r="J318" i="2"/>
  <c r="J308" i="2"/>
  <c r="J300" i="2"/>
  <c r="J296" i="2"/>
  <c r="J292" i="2"/>
  <c r="J288" i="2"/>
  <c r="J284" i="2"/>
  <c r="J280" i="2"/>
  <c r="J276" i="2"/>
  <c r="J230" i="2"/>
  <c r="J225" i="2"/>
  <c r="J165" i="2"/>
  <c r="J157" i="2"/>
  <c r="J107" i="2"/>
  <c r="J103" i="2"/>
  <c r="J94" i="2"/>
  <c r="J86" i="2"/>
  <c r="J82" i="2"/>
  <c r="J78" i="2"/>
  <c r="J70" i="2"/>
  <c r="J66" i="2"/>
  <c r="J62" i="2"/>
  <c r="J50" i="2"/>
  <c r="J46" i="2"/>
  <c r="J42" i="2"/>
  <c r="J38" i="2"/>
  <c r="J34" i="2"/>
  <c r="J24" i="2"/>
  <c r="J20" i="2"/>
  <c r="J16" i="2"/>
  <c r="J12" i="2"/>
  <c r="J903" i="1"/>
  <c r="J941" i="1"/>
  <c r="J143" i="2"/>
  <c r="J127" i="2"/>
  <c r="J123" i="2"/>
  <c r="J89" i="2"/>
  <c r="J73" i="2"/>
  <c r="J53" i="2"/>
  <c r="J677" i="2"/>
  <c r="J906" i="1"/>
  <c r="J921" i="1"/>
  <c r="J913" i="1"/>
  <c r="J909" i="1"/>
  <c r="J915" i="1"/>
  <c r="J919" i="1"/>
  <c r="J117" i="2"/>
  <c r="J95" i="2"/>
  <c r="J87" i="2"/>
  <c r="J79" i="2"/>
  <c r="J71" i="2"/>
  <c r="J63" i="2"/>
  <c r="J51" i="2"/>
  <c r="J47" i="2"/>
  <c r="J43" i="2"/>
  <c r="J39" i="2"/>
  <c r="J35" i="2"/>
  <c r="J21" i="2"/>
  <c r="J17" i="2"/>
  <c r="J13" i="2"/>
  <c r="J9" i="2"/>
  <c r="J102" i="2"/>
  <c r="J93" i="2"/>
  <c r="J85" i="2"/>
  <c r="J77" i="2"/>
  <c r="J69" i="2"/>
  <c r="J61" i="2"/>
  <c r="J49" i="2"/>
  <c r="J45" i="2"/>
  <c r="J41" i="2"/>
  <c r="J37" i="2"/>
  <c r="J33" i="2"/>
  <c r="J23" i="2"/>
  <c r="J19" i="2"/>
  <c r="J15" i="2"/>
  <c r="J11" i="2"/>
  <c r="J7" i="2"/>
  <c r="J845" i="2"/>
  <c r="J679" i="2"/>
  <c r="J780" i="2"/>
  <c r="J8" i="2"/>
  <c r="J6" i="2"/>
</calcChain>
</file>

<file path=xl/sharedStrings.xml><?xml version="1.0" encoding="utf-8"?>
<sst xmlns="http://schemas.openxmlformats.org/spreadsheetml/2006/main" count="10119" uniqueCount="5764">
  <si>
    <t>รหัสนักศึกษา</t>
  </si>
  <si>
    <t>ชื่อ - นามสกุล</t>
  </si>
  <si>
    <t>ห้อง</t>
  </si>
  <si>
    <t>เตียง</t>
  </si>
  <si>
    <t>ลงชื่อ</t>
  </si>
  <si>
    <t>551743012007-9</t>
  </si>
  <si>
    <t>จันทร์แดง</t>
  </si>
  <si>
    <t>1202</t>
  </si>
  <si>
    <t>1</t>
  </si>
  <si>
    <t>551743012015-2</t>
  </si>
  <si>
    <t>เกตุใหม่</t>
  </si>
  <si>
    <t>2</t>
  </si>
  <si>
    <t>551761022024-4</t>
  </si>
  <si>
    <t>มณีพงษ์</t>
  </si>
  <si>
    <t>3</t>
  </si>
  <si>
    <t>551752012002-1</t>
  </si>
  <si>
    <t>ปาละพันธุ์</t>
  </si>
  <si>
    <t>4</t>
  </si>
  <si>
    <t>541521022010-4</t>
  </si>
  <si>
    <t>นรนารถ</t>
  </si>
  <si>
    <t>1203</t>
  </si>
  <si>
    <t>541521022015-3</t>
  </si>
  <si>
    <t>ส่องแสง</t>
  </si>
  <si>
    <t>551521033044-7</t>
  </si>
  <si>
    <t>ศรีอาภรณ์</t>
  </si>
  <si>
    <t>541521022070-8</t>
  </si>
  <si>
    <t>ทับโคกสูง</t>
  </si>
  <si>
    <t>551521011048-4</t>
  </si>
  <si>
    <t>กะประโคน</t>
  </si>
  <si>
    <t>1204</t>
  </si>
  <si>
    <t>551521011058-3</t>
  </si>
  <si>
    <t>เวินขุนทด</t>
  </si>
  <si>
    <t>551521011021-1</t>
  </si>
  <si>
    <t>นองใหม่</t>
  </si>
  <si>
    <t>551521011062-5</t>
  </si>
  <si>
    <t>ภูจำเนียน</t>
  </si>
  <si>
    <t>541762012016-3</t>
  </si>
  <si>
    <t>คูณขุนทด</t>
  </si>
  <si>
    <t>1205</t>
  </si>
  <si>
    <t>541762012002-3</t>
  </si>
  <si>
    <t>แฝงกระโทก</t>
  </si>
  <si>
    <t>541762012003-1</t>
  </si>
  <si>
    <t>ปราสาทสูง</t>
  </si>
  <si>
    <t>551523011019-1</t>
  </si>
  <si>
    <t>นิ่มนวน</t>
  </si>
  <si>
    <t>1206</t>
  </si>
  <si>
    <t>551523011007-6</t>
  </si>
  <si>
    <t>รอดทอง</t>
  </si>
  <si>
    <t>551523011016-7</t>
  </si>
  <si>
    <t>ยอดรัก</t>
  </si>
  <si>
    <t>551523022044-6</t>
  </si>
  <si>
    <t>คงมา</t>
  </si>
  <si>
    <t>551522013022-5</t>
  </si>
  <si>
    <t>ทองเจริญ</t>
  </si>
  <si>
    <t>1207</t>
  </si>
  <si>
    <t>551522013040-7</t>
  </si>
  <si>
    <t>แซ่ตัน</t>
  </si>
  <si>
    <t>551522013038-1</t>
  </si>
  <si>
    <t>551522013028-2</t>
  </si>
  <si>
    <t>ขุนหอม</t>
  </si>
  <si>
    <t>551523011009-2</t>
  </si>
  <si>
    <t>แต้มโคกสูง</t>
  </si>
  <si>
    <t>1208</t>
  </si>
  <si>
    <t>551523011008-4</t>
  </si>
  <si>
    <t>จันทิมา</t>
  </si>
  <si>
    <t>551523011010-0</t>
  </si>
  <si>
    <t>เข็มสุวรรณ</t>
  </si>
  <si>
    <t>551523011002-7</t>
  </si>
  <si>
    <t>จานนอก</t>
  </si>
  <si>
    <t>551521011029-4</t>
  </si>
  <si>
    <t>ประสานวงค์</t>
  </si>
  <si>
    <t>1209</t>
  </si>
  <si>
    <t>531521011040-6</t>
  </si>
  <si>
    <t>ภักไชย</t>
  </si>
  <si>
    <t>541522013025-1</t>
  </si>
  <si>
    <t>บุญสิทธิ์</t>
  </si>
  <si>
    <t>541522013027-7</t>
  </si>
  <si>
    <t>แจ่มสงวน</t>
  </si>
  <si>
    <t>551532022014-0</t>
  </si>
  <si>
    <t>ภูมูล</t>
  </si>
  <si>
    <t>1210</t>
  </si>
  <si>
    <t>551532022020-7</t>
  </si>
  <si>
    <t>สะภินครบุรี</t>
  </si>
  <si>
    <t>521521011099-4</t>
  </si>
  <si>
    <t>นนท์ขุนทด</t>
  </si>
  <si>
    <t>521521011100-0</t>
  </si>
  <si>
    <t>งามใจ</t>
  </si>
  <si>
    <t>551733022033-4</t>
  </si>
  <si>
    <t>สาริกา</t>
  </si>
  <si>
    <t>1211</t>
  </si>
  <si>
    <t>551751042013-4</t>
  </si>
  <si>
    <t>ศิริราชจันทึก</t>
  </si>
  <si>
    <t>551732012029-6</t>
  </si>
  <si>
    <t>ปุริโต</t>
  </si>
  <si>
    <t>551742022016-0</t>
  </si>
  <si>
    <t>ชิดพรมราช</t>
  </si>
  <si>
    <t>551523011203-1</t>
  </si>
  <si>
    <t>ศรีพินิจภัทร</t>
  </si>
  <si>
    <t>1212</t>
  </si>
  <si>
    <t>551523011202-3</t>
  </si>
  <si>
    <t>ชำนาญ</t>
  </si>
  <si>
    <t>531523022023-5</t>
  </si>
  <si>
    <t>พงษ์ศรี</t>
  </si>
  <si>
    <t>531523022026-8</t>
  </si>
  <si>
    <t>ชุมสำโรง</t>
  </si>
  <si>
    <t>551531011027-7</t>
  </si>
  <si>
    <t>กองสอน</t>
  </si>
  <si>
    <t>1213</t>
  </si>
  <si>
    <t>551531011028-5</t>
  </si>
  <si>
    <t>พลโท</t>
  </si>
  <si>
    <t>551531011221-6</t>
  </si>
  <si>
    <t>เขือนอก</t>
  </si>
  <si>
    <t>551521033049-6</t>
  </si>
  <si>
    <t>แสงประโคน</t>
  </si>
  <si>
    <t>1214</t>
  </si>
  <si>
    <t>541521022003-9</t>
  </si>
  <si>
    <t>พบพิมาย</t>
  </si>
  <si>
    <t>551521033039-7</t>
  </si>
  <si>
    <t>อาญาเมือง</t>
  </si>
  <si>
    <t>541521011065-1</t>
  </si>
  <si>
    <t>อะโน</t>
  </si>
  <si>
    <t>541521011082-6</t>
  </si>
  <si>
    <t>สุมะหิงพันธ์</t>
  </si>
  <si>
    <t>1215</t>
  </si>
  <si>
    <t>541531011029-6</t>
  </si>
  <si>
    <t>โลไธสง</t>
  </si>
  <si>
    <t>551521011081-5</t>
  </si>
  <si>
    <t>จันนวล</t>
  </si>
  <si>
    <t>541521011020-6</t>
  </si>
  <si>
    <t>ลาวัลย์</t>
  </si>
  <si>
    <t>541623012008-4</t>
  </si>
  <si>
    <t>ชมสระน้อย</t>
  </si>
  <si>
    <t>1216</t>
  </si>
  <si>
    <t>541521022079-9</t>
  </si>
  <si>
    <t>เนียนสันเทียะ</t>
  </si>
  <si>
    <t>551532023610-4</t>
  </si>
  <si>
    <t>อ่อนโคกสูง</t>
  </si>
  <si>
    <t>551521022020-0</t>
  </si>
  <si>
    <t>บุดอำคา</t>
  </si>
  <si>
    <t>541824042001-7</t>
  </si>
  <si>
    <t>ศรีพรม</t>
  </si>
  <si>
    <t>1217</t>
  </si>
  <si>
    <t>541824042035-5</t>
  </si>
  <si>
    <t>พันธุ์เณร</t>
  </si>
  <si>
    <t>541824042013-2</t>
  </si>
  <si>
    <t>นิ่มทอง</t>
  </si>
  <si>
    <t>541824042037-1</t>
  </si>
  <si>
    <t>ขำยิ่งเกิด</t>
  </si>
  <si>
    <t>541522013019-4</t>
  </si>
  <si>
    <t>แก้วประโคน</t>
  </si>
  <si>
    <t>1218</t>
  </si>
  <si>
    <t>531522012044-5</t>
  </si>
  <si>
    <t>รงคะสุทธิโรจน์</t>
  </si>
  <si>
    <t>551522011225-6</t>
  </si>
  <si>
    <t>นามวงค์</t>
  </si>
  <si>
    <t>551522011226-4</t>
  </si>
  <si>
    <t>วินิยม</t>
  </si>
  <si>
    <t>541531022029-3</t>
  </si>
  <si>
    <t>นาเมืองรักษ์</t>
  </si>
  <si>
    <t>1219</t>
  </si>
  <si>
    <t>551521011017-9</t>
  </si>
  <si>
    <t>ทันบาน</t>
  </si>
  <si>
    <t>541521011059-4</t>
  </si>
  <si>
    <t>ศรีคะเณย์</t>
  </si>
  <si>
    <t>541521011052-9</t>
  </si>
  <si>
    <t>ถมพลกรัง</t>
  </si>
  <si>
    <t>551521022092-9</t>
  </si>
  <si>
    <t>มากด่านกลาง</t>
  </si>
  <si>
    <t>1220</t>
  </si>
  <si>
    <t>551531022028-2</t>
  </si>
  <si>
    <t>พันธ์โพธิ์</t>
  </si>
  <si>
    <t>551531022047-2</t>
  </si>
  <si>
    <t>แขขุนทด</t>
  </si>
  <si>
    <t>541531023017-7</t>
  </si>
  <si>
    <t>แสงจันทร์</t>
  </si>
  <si>
    <t>541521033052-3</t>
  </si>
  <si>
    <t>ภิญโญ</t>
  </si>
  <si>
    <t>1221</t>
  </si>
  <si>
    <t>551521011061-7</t>
  </si>
  <si>
    <t>โชกระโทก</t>
  </si>
  <si>
    <t>551521011231-6</t>
  </si>
  <si>
    <t>มุขพิมาย</t>
  </si>
  <si>
    <t>541521033086-1</t>
  </si>
  <si>
    <t>พืบขุนทด</t>
  </si>
  <si>
    <t>551625022023-3</t>
  </si>
  <si>
    <t>เตียนพลกรัง</t>
  </si>
  <si>
    <t>1222</t>
  </si>
  <si>
    <t>521625022002-4</t>
  </si>
  <si>
    <t>ชาววัง</t>
  </si>
  <si>
    <t>551632022004-9</t>
  </si>
  <si>
    <t>วงภูธร</t>
  </si>
  <si>
    <t>551632022006-4</t>
  </si>
  <si>
    <t>แหวกแสวง</t>
  </si>
  <si>
    <t>531722022017-5</t>
  </si>
  <si>
    <t>บุญชู</t>
  </si>
  <si>
    <t>1223</t>
  </si>
  <si>
    <t>541741022004-1</t>
  </si>
  <si>
    <t>นามจะโปะ</t>
  </si>
  <si>
    <t>551532032045-2</t>
  </si>
  <si>
    <t>เพ็ชรทะเล</t>
  </si>
  <si>
    <t>551825012038-9</t>
  </si>
  <si>
    <t>ศรีชำนาญ</t>
  </si>
  <si>
    <t>551751042014-2</t>
  </si>
  <si>
    <t>จีนมะเริง</t>
  </si>
  <si>
    <t>1224</t>
  </si>
  <si>
    <t>551751042028-2</t>
  </si>
  <si>
    <t>ปอยมะเริง</t>
  </si>
  <si>
    <t>551752012029-4</t>
  </si>
  <si>
    <t>คุ่มกลาง</t>
  </si>
  <si>
    <t>551531011206-7</t>
  </si>
  <si>
    <t>พิมพ์บูลย์</t>
  </si>
  <si>
    <t>551532032022-1</t>
  </si>
  <si>
    <t>ตราเกษม</t>
  </si>
  <si>
    <t>1225</t>
  </si>
  <si>
    <t>551532032026-2</t>
  </si>
  <si>
    <t>โคกเกษม</t>
  </si>
  <si>
    <t>551532022038-9</t>
  </si>
  <si>
    <t>คิดกิ่ง</t>
  </si>
  <si>
    <t>551532032009-8</t>
  </si>
  <si>
    <t>เพชนมนมะดัน</t>
  </si>
  <si>
    <t>551521022061-4</t>
  </si>
  <si>
    <t>โฉสูงเนิน</t>
  </si>
  <si>
    <t>1226</t>
  </si>
  <si>
    <t>551521022024-2</t>
  </si>
  <si>
    <t>โพนภาค</t>
  </si>
  <si>
    <t>541521033044-0</t>
  </si>
  <si>
    <t>กองแก้ว</t>
  </si>
  <si>
    <t>541521033054-9</t>
  </si>
  <si>
    <t>สาวิสิทธิ์</t>
  </si>
  <si>
    <t>541521033648-8</t>
  </si>
  <si>
    <t>ภูมิโคกรักษ์</t>
  </si>
  <si>
    <t>1227</t>
  </si>
  <si>
    <t>541521033021-8</t>
  </si>
  <si>
    <t>จักรกระโทก</t>
  </si>
  <si>
    <t>551625072012-5</t>
  </si>
  <si>
    <t>แพครบุรี</t>
  </si>
  <si>
    <t>541521033066-3</t>
  </si>
  <si>
    <t>น้อยหมื่นไวย</t>
  </si>
  <si>
    <t>541532023623-0</t>
  </si>
  <si>
    <t>กล้ากระโทก</t>
  </si>
  <si>
    <t>1228</t>
  </si>
  <si>
    <t>551522013014-2</t>
  </si>
  <si>
    <t>กุลอุปฮาด</t>
  </si>
  <si>
    <t>541532023621-4</t>
  </si>
  <si>
    <t>สีม่วงงาม</t>
  </si>
  <si>
    <t>541532023602-4</t>
  </si>
  <si>
    <t>มณีโชติ</t>
  </si>
  <si>
    <t>551721011028-2</t>
  </si>
  <si>
    <t>ชมภูวิเศษ</t>
  </si>
  <si>
    <t>1229</t>
  </si>
  <si>
    <t>551721011020-9</t>
  </si>
  <si>
    <t>รอดภิรมย์</t>
  </si>
  <si>
    <t>551721011006-8</t>
  </si>
  <si>
    <t>กระทุ่มกลาง</t>
  </si>
  <si>
    <t>551751031014-5</t>
  </si>
  <si>
    <t>สืบจะบก</t>
  </si>
  <si>
    <t>551522011210-8</t>
  </si>
  <si>
    <t>เกยพุดซา</t>
  </si>
  <si>
    <t>1230</t>
  </si>
  <si>
    <t>551522011214-0</t>
  </si>
  <si>
    <t>จำนงรักษา</t>
  </si>
  <si>
    <t>521823012002-7</t>
  </si>
  <si>
    <t>อุสาพรหม</t>
  </si>
  <si>
    <t>551522011010-2</t>
  </si>
  <si>
    <t>ดอกพิกุล</t>
  </si>
  <si>
    <t>551522012006-9</t>
  </si>
  <si>
    <t>ถ้ำโพธิ์</t>
  </si>
  <si>
    <t>1231</t>
  </si>
  <si>
    <t>551522012024-2</t>
  </si>
  <si>
    <t>พลอยกลาง</t>
  </si>
  <si>
    <t>551522012013-5</t>
  </si>
  <si>
    <t>ใจตรง</t>
  </si>
  <si>
    <t>551522012001-0</t>
  </si>
  <si>
    <t>ลมสูงเนิน</t>
  </si>
  <si>
    <t>551522011220-7</t>
  </si>
  <si>
    <t>ดอนกระโทก</t>
  </si>
  <si>
    <t>1232</t>
  </si>
  <si>
    <t>551522012044-0</t>
  </si>
  <si>
    <t>สกิจขวา</t>
  </si>
  <si>
    <t>551522011219-9</t>
  </si>
  <si>
    <t>หนุนกลาง</t>
  </si>
  <si>
    <t>551521011205-0</t>
  </si>
  <si>
    <t>กริ่งครบุรี</t>
  </si>
  <si>
    <t>551521022065-5</t>
  </si>
  <si>
    <t>เทศสูงเนิน</t>
  </si>
  <si>
    <t>1233</t>
  </si>
  <si>
    <t>551521022043-2</t>
  </si>
  <si>
    <t>เพ็ชรกลั่นพะเนา</t>
  </si>
  <si>
    <t>551521022028-3</t>
  </si>
  <si>
    <t>จงบวกกลาง</t>
  </si>
  <si>
    <t>551521022041-6</t>
  </si>
  <si>
    <t>ตะสันเทียะ</t>
  </si>
  <si>
    <t>551521011060-9</t>
  </si>
  <si>
    <t>ชมสำโรง</t>
  </si>
  <si>
    <t>1234</t>
  </si>
  <si>
    <t>541743012002-3</t>
  </si>
  <si>
    <t>ดลขุนทด</t>
  </si>
  <si>
    <t>541743012006-4</t>
  </si>
  <si>
    <t>พาพิมาย</t>
  </si>
  <si>
    <t>551531022021-7</t>
  </si>
  <si>
    <t>มีบุญ</t>
  </si>
  <si>
    <t>1235</t>
  </si>
  <si>
    <t>551521022035-8</t>
  </si>
  <si>
    <t>ศิลโรจน์</t>
  </si>
  <si>
    <t>551531011203-4</t>
  </si>
  <si>
    <t>ระฆังสมบูรณ์</t>
  </si>
  <si>
    <t>551531011211-7</t>
  </si>
  <si>
    <t>แซ่ซิ้ม</t>
  </si>
  <si>
    <t>541625072011-0</t>
  </si>
  <si>
    <t>อำนาคะ</t>
  </si>
  <si>
    <t>1236</t>
  </si>
  <si>
    <t>541625072044-1</t>
  </si>
  <si>
    <t>นิธิทรัพย์</t>
  </si>
  <si>
    <t>551531022045-6</t>
  </si>
  <si>
    <t>ตากโพธิ์</t>
  </si>
  <si>
    <t>541625072005-2</t>
  </si>
  <si>
    <t>สมางชัย</t>
  </si>
  <si>
    <t>551522012017-6</t>
  </si>
  <si>
    <t>บุญแจด</t>
  </si>
  <si>
    <t>1301</t>
  </si>
  <si>
    <t>551522012021-8</t>
  </si>
  <si>
    <t>ท่อนแก้ว</t>
  </si>
  <si>
    <t>551521011001-3</t>
  </si>
  <si>
    <t>มีสัตย์</t>
  </si>
  <si>
    <t>551521011004-7</t>
  </si>
  <si>
    <t>แก้วปลั่ง</t>
  </si>
  <si>
    <t>541743012009-8</t>
  </si>
  <si>
    <t>หวังครอบกลาง</t>
  </si>
  <si>
    <t>1302</t>
  </si>
  <si>
    <t>541743012012-2</t>
  </si>
  <si>
    <t>แก้วกันเนตร</t>
  </si>
  <si>
    <t>541743012021-3</t>
  </si>
  <si>
    <t>เพ้ยจันทึก</t>
  </si>
  <si>
    <t>541743012005-6</t>
  </si>
  <si>
    <t>บาดขุนทด</t>
  </si>
  <si>
    <t>551523011012-6</t>
  </si>
  <si>
    <t>ศิริโภคานนท์</t>
  </si>
  <si>
    <t>1303</t>
  </si>
  <si>
    <t>551523011003-5</t>
  </si>
  <si>
    <t>แนมขุนทด</t>
  </si>
  <si>
    <t>551523011018-3</t>
  </si>
  <si>
    <t>เสาพึ่งดี</t>
  </si>
  <si>
    <t>551523011014-2</t>
  </si>
  <si>
    <t>จอมเกาะ</t>
  </si>
  <si>
    <t>541743012007-2</t>
  </si>
  <si>
    <t>ปลอดกระโทก</t>
  </si>
  <si>
    <t>1304</t>
  </si>
  <si>
    <t>541743012004-9</t>
  </si>
  <si>
    <t>ทราบพรมราช</t>
  </si>
  <si>
    <t>551532022037-1</t>
  </si>
  <si>
    <t>สุขก้อน</t>
  </si>
  <si>
    <t>1305</t>
  </si>
  <si>
    <t>551532022034-8</t>
  </si>
  <si>
    <t>สมสถาน</t>
  </si>
  <si>
    <t>551532022025-6</t>
  </si>
  <si>
    <t>ฝ่ายพิมาย</t>
  </si>
  <si>
    <t>551532022017-3</t>
  </si>
  <si>
    <t>แพมขุนทด</t>
  </si>
  <si>
    <t>541721033009-9</t>
  </si>
  <si>
    <t>คิดดีจริง</t>
  </si>
  <si>
    <t>1306</t>
  </si>
  <si>
    <t>551521011089-8</t>
  </si>
  <si>
    <t>ชาญฤทธิ์</t>
  </si>
  <si>
    <t>551521011203-5</t>
  </si>
  <si>
    <t>กิ่งพุดซา</t>
  </si>
  <si>
    <t>541744012018-7</t>
  </si>
  <si>
    <t>เชี่ยวโอสถ</t>
  </si>
  <si>
    <t>551523022006-5</t>
  </si>
  <si>
    <t>รักสุภาพ</t>
  </si>
  <si>
    <t>1307</t>
  </si>
  <si>
    <t>551523022012-3</t>
  </si>
  <si>
    <t>สาระนาสระน้อย</t>
  </si>
  <si>
    <t>551523022013-1</t>
  </si>
  <si>
    <t>โทคำมา</t>
  </si>
  <si>
    <t>551523022021-4</t>
  </si>
  <si>
    <t>ดารา</t>
  </si>
  <si>
    <t>551522011227-2</t>
  </si>
  <si>
    <t>ตอสูงเนิน</t>
  </si>
  <si>
    <t>1308</t>
  </si>
  <si>
    <t>541523011027-7</t>
  </si>
  <si>
    <t>เดชธนาโชค</t>
  </si>
  <si>
    <t>551521011220-9</t>
  </si>
  <si>
    <t>เปลี่ยนสอาด</t>
  </si>
  <si>
    <t>551521011212-6</t>
  </si>
  <si>
    <t>คิดรอบ</t>
  </si>
  <si>
    <t>1309</t>
  </si>
  <si>
    <t>541623012003-5</t>
  </si>
  <si>
    <t>สร้อยสน</t>
  </si>
  <si>
    <t>551521011088-0</t>
  </si>
  <si>
    <t>บาดกระโทก</t>
  </si>
  <si>
    <t>541531023020-1</t>
  </si>
  <si>
    <t>บุราศร</t>
  </si>
  <si>
    <t>1310</t>
  </si>
  <si>
    <t>541531023007-8</t>
  </si>
  <si>
    <t>จิรัมย์</t>
  </si>
  <si>
    <t>541531023002-9</t>
  </si>
  <si>
    <t>มีขุนทด</t>
  </si>
  <si>
    <t>521521012076-1</t>
  </si>
  <si>
    <t>ชัยพงษ์</t>
  </si>
  <si>
    <t>551731023004-8</t>
  </si>
  <si>
    <t>ภากัน</t>
  </si>
  <si>
    <t>1311</t>
  </si>
  <si>
    <t>551532032072-6</t>
  </si>
  <si>
    <t>551721033030-2</t>
  </si>
  <si>
    <t>ทองหนัก</t>
  </si>
  <si>
    <t>551741022014-7</t>
  </si>
  <si>
    <t>ณะศิริ</t>
  </si>
  <si>
    <t>531521022025-4</t>
  </si>
  <si>
    <t>ศรีสุระ</t>
  </si>
  <si>
    <t>1312</t>
  </si>
  <si>
    <t>551521011097-1</t>
  </si>
  <si>
    <t>ทิวทอง</t>
  </si>
  <si>
    <t>551521011090-6</t>
  </si>
  <si>
    <t>ต่อมกระโทก</t>
  </si>
  <si>
    <t>551521011050-0</t>
  </si>
  <si>
    <t>ดวงคำน้อย</t>
  </si>
  <si>
    <t>541532032008-3</t>
  </si>
  <si>
    <t>เบ้าจันทึก</t>
  </si>
  <si>
    <t>1313</t>
  </si>
  <si>
    <t>541532032032-3</t>
  </si>
  <si>
    <t>สิงห์ทองหลาง</t>
  </si>
  <si>
    <t>541532032049-7</t>
  </si>
  <si>
    <t>เขตจัตุรัส</t>
  </si>
  <si>
    <t>541532032039-8</t>
  </si>
  <si>
    <t>อ่วมมีเพียร</t>
  </si>
  <si>
    <t>551722022011-3</t>
  </si>
  <si>
    <t>มณีฉาย</t>
  </si>
  <si>
    <t>1314</t>
  </si>
  <si>
    <t>551722022010-5</t>
  </si>
  <si>
    <t>ยามกระโทก</t>
  </si>
  <si>
    <t>551532032051-0</t>
  </si>
  <si>
    <t>ศรสูงเนิน</t>
  </si>
  <si>
    <t>551532032053-6</t>
  </si>
  <si>
    <t>สมอุ่มจารย์</t>
  </si>
  <si>
    <t>551522013013-4</t>
  </si>
  <si>
    <t>พรมณี</t>
  </si>
  <si>
    <t>1315</t>
  </si>
  <si>
    <t>551522013024-1</t>
  </si>
  <si>
    <t>พนมเขต</t>
  </si>
  <si>
    <t>551522013021-7</t>
  </si>
  <si>
    <t>ชัยรัมย์</t>
  </si>
  <si>
    <t>551522012020-0</t>
  </si>
  <si>
    <t>จันอู๊ด</t>
  </si>
  <si>
    <t>551521011027-8</t>
  </si>
  <si>
    <t>แซงรัมย์</t>
  </si>
  <si>
    <t>1316</t>
  </si>
  <si>
    <t>551521011025-2</t>
  </si>
  <si>
    <t>สามสี</t>
  </si>
  <si>
    <t>541625022031-9</t>
  </si>
  <si>
    <t>หาญพล</t>
  </si>
  <si>
    <t>531762012023-1</t>
  </si>
  <si>
    <t>บินอารีเปน</t>
  </si>
  <si>
    <t>531824042017-5</t>
  </si>
  <si>
    <t>พุ่มทอง</t>
  </si>
  <si>
    <t>1317</t>
  </si>
  <si>
    <t>531824042018-3</t>
  </si>
  <si>
    <t>รัตนวงษ์</t>
  </si>
  <si>
    <t>551826012025-4</t>
  </si>
  <si>
    <t>สิทธินิสัยสุข</t>
  </si>
  <si>
    <t>541623012002-7</t>
  </si>
  <si>
    <t>กลิ้งทะเล</t>
  </si>
  <si>
    <t>551521011214-2</t>
  </si>
  <si>
    <t>ปะสาวะถา</t>
  </si>
  <si>
    <t>1318</t>
  </si>
  <si>
    <t>551521011230-8</t>
  </si>
  <si>
    <t>ธัญญาตระกูล</t>
  </si>
  <si>
    <t>531521011227-9</t>
  </si>
  <si>
    <t>ดีปาน</t>
  </si>
  <si>
    <t>551521011213-4</t>
  </si>
  <si>
    <t>ยุทธนาภิวัฒน์</t>
  </si>
  <si>
    <t>551532022018-1</t>
  </si>
  <si>
    <t>พลจันทึก</t>
  </si>
  <si>
    <t>1319</t>
  </si>
  <si>
    <t>551532022043-9</t>
  </si>
  <si>
    <t>สวนฉิมพลี</t>
  </si>
  <si>
    <t>551532032005-6</t>
  </si>
  <si>
    <t>กล้าหาญ</t>
  </si>
  <si>
    <t>531762012006-6</t>
  </si>
  <si>
    <t>โห้เฉื่อย</t>
  </si>
  <si>
    <t>1320</t>
  </si>
  <si>
    <t>531762012005-8</t>
  </si>
  <si>
    <t>ขีนสันเทียะ</t>
  </si>
  <si>
    <t>551521011073-2</t>
  </si>
  <si>
    <t>นุ่นงาม</t>
  </si>
  <si>
    <t>551522011002-9</t>
  </si>
  <si>
    <t>นนสันเทียะ</t>
  </si>
  <si>
    <t>551625072034-9</t>
  </si>
  <si>
    <t>ประสาทนอก</t>
  </si>
  <si>
    <t>1321</t>
  </si>
  <si>
    <t>551531022008-4</t>
  </si>
  <si>
    <t>ทานอก</t>
  </si>
  <si>
    <t>551531022016-7</t>
  </si>
  <si>
    <t>เฉลิมรัมย์</t>
  </si>
  <si>
    <t>531743012012-4</t>
  </si>
  <si>
    <t>รันดอน</t>
  </si>
  <si>
    <t>1322</t>
  </si>
  <si>
    <t>531743012017-3</t>
  </si>
  <si>
    <t>เพลากระโทก</t>
  </si>
  <si>
    <t>551622012026-5</t>
  </si>
  <si>
    <t>เลิศกิจลักษณ์</t>
  </si>
  <si>
    <t>551523011206-4</t>
  </si>
  <si>
    <t>ลือพงศ์พัฒนะ</t>
  </si>
  <si>
    <t>1323</t>
  </si>
  <si>
    <t>551523011017-5</t>
  </si>
  <si>
    <t>ชุมเสน</t>
  </si>
  <si>
    <t>551523011023-3</t>
  </si>
  <si>
    <t>เติมบุญ</t>
  </si>
  <si>
    <t>551721032026-1</t>
  </si>
  <si>
    <t>เมืองสันเทียะ</t>
  </si>
  <si>
    <t>551522013006-8</t>
  </si>
  <si>
    <t>อัยรัตน์</t>
  </si>
  <si>
    <t>1324</t>
  </si>
  <si>
    <t>551522013011-8</t>
  </si>
  <si>
    <t>บรรลือหาญ</t>
  </si>
  <si>
    <t>551522013005-0</t>
  </si>
  <si>
    <t>บุญยืน</t>
  </si>
  <si>
    <t>551522013029-0</t>
  </si>
  <si>
    <t>มุ่งคุณ</t>
  </si>
  <si>
    <t>531531022031-1</t>
  </si>
  <si>
    <t>ปราณีตพลกรัง</t>
  </si>
  <si>
    <t>1325</t>
  </si>
  <si>
    <t>531531022011-3</t>
  </si>
  <si>
    <t>ชอบทดกลาง</t>
  </si>
  <si>
    <t>541531022016-0</t>
  </si>
  <si>
    <t>เรนเรือง</t>
  </si>
  <si>
    <t>531522012012-2</t>
  </si>
  <si>
    <t>ชิดนอก</t>
  </si>
  <si>
    <t>551531022034-0</t>
  </si>
  <si>
    <t>ชยมชัย</t>
  </si>
  <si>
    <t>1326</t>
  </si>
  <si>
    <t>551531022006-8</t>
  </si>
  <si>
    <t>ภาสนิท</t>
  </si>
  <si>
    <t>551531022039-9</t>
  </si>
  <si>
    <t>อาบจะบก</t>
  </si>
  <si>
    <t>551523022010-7</t>
  </si>
  <si>
    <t>สุขใหม่</t>
  </si>
  <si>
    <t>551521033076-9</t>
  </si>
  <si>
    <t>ขอเพชร</t>
  </si>
  <si>
    <t>1327</t>
  </si>
  <si>
    <t>541622012007-8</t>
  </si>
  <si>
    <t>ขุนประเสริฐ</t>
  </si>
  <si>
    <t>541622012018-5</t>
  </si>
  <si>
    <t>เวียนสันเทียะ</t>
  </si>
  <si>
    <t>551521033054-6</t>
  </si>
  <si>
    <t>ยุวะวาสน์</t>
  </si>
  <si>
    <t>541522012015-3</t>
  </si>
  <si>
    <t>ยศสันเทียะ</t>
  </si>
  <si>
    <t>1328</t>
  </si>
  <si>
    <t>551743012004-6</t>
  </si>
  <si>
    <t>อินแก้ว</t>
  </si>
  <si>
    <t>551522012008-5</t>
  </si>
  <si>
    <t>วิลัยกรวด</t>
  </si>
  <si>
    <t>551522012029-1</t>
  </si>
  <si>
    <t>พูลสวัสดิ์</t>
  </si>
  <si>
    <t>551521011077-3</t>
  </si>
  <si>
    <t>1329</t>
  </si>
  <si>
    <t>541622012014-4</t>
  </si>
  <si>
    <t>นามสำลี</t>
  </si>
  <si>
    <t>541622012021-9</t>
  </si>
  <si>
    <t>โสมาตร</t>
  </si>
  <si>
    <t>541625072042-5</t>
  </si>
  <si>
    <t>ไตรยวงศ์</t>
  </si>
  <si>
    <t>541521033005-1</t>
  </si>
  <si>
    <t>วงศ์คำ</t>
  </si>
  <si>
    <t>1330</t>
  </si>
  <si>
    <t>551523022002-4</t>
  </si>
  <si>
    <t>ญวนแม</t>
  </si>
  <si>
    <t>551523022014-9</t>
  </si>
  <si>
    <t>สุกใส</t>
  </si>
  <si>
    <t>531531022035-2</t>
  </si>
  <si>
    <t>สาวิสัย</t>
  </si>
  <si>
    <t>551743012006-1</t>
  </si>
  <si>
    <t>ชิณวงษ์</t>
  </si>
  <si>
    <t>1331</t>
  </si>
  <si>
    <t>551532022027-2</t>
  </si>
  <si>
    <t>มุ่งเกี่ยวกลาง</t>
  </si>
  <si>
    <t>551743012018-6</t>
  </si>
  <si>
    <t>แสงทองศรี</t>
  </si>
  <si>
    <t>551532032013-0</t>
  </si>
  <si>
    <t>เงาเกาะ</t>
  </si>
  <si>
    <t>551521011066-6</t>
  </si>
  <si>
    <t>นพคุณ</t>
  </si>
  <si>
    <t>1332</t>
  </si>
  <si>
    <t>551523011210-6</t>
  </si>
  <si>
    <t>เกษดา</t>
  </si>
  <si>
    <t>531521022041-1</t>
  </si>
  <si>
    <t>นามผักแว่น</t>
  </si>
  <si>
    <t>551521011063-3</t>
  </si>
  <si>
    <t>บัวสันเทียะ</t>
  </si>
  <si>
    <t>551523022037-0</t>
  </si>
  <si>
    <t>จำปีหอม</t>
  </si>
  <si>
    <t>1333</t>
  </si>
  <si>
    <t>551523022032-1</t>
  </si>
  <si>
    <t>นาคแจ้ง</t>
  </si>
  <si>
    <t>551522012012-7</t>
  </si>
  <si>
    <t>นพเก้า</t>
  </si>
  <si>
    <t>551532032025-4</t>
  </si>
  <si>
    <t>บุญยัง</t>
  </si>
  <si>
    <t>1334</t>
  </si>
  <si>
    <t>541531011225-0</t>
  </si>
  <si>
    <t>มุ่งอุ่นกลาง</t>
  </si>
  <si>
    <t>551532032019-7</t>
  </si>
  <si>
    <t>ศิริ</t>
  </si>
  <si>
    <t>541522012007-0</t>
  </si>
  <si>
    <t>ทองคลี่</t>
  </si>
  <si>
    <t>551522011218-1</t>
  </si>
  <si>
    <t>สินโพธิ์กลาง</t>
  </si>
  <si>
    <t>1335</t>
  </si>
  <si>
    <t>551522011207-4</t>
  </si>
  <si>
    <t>สิทธิศักดิ์</t>
  </si>
  <si>
    <t>551522011201-7</t>
  </si>
  <si>
    <t>บำรุงเกาะ</t>
  </si>
  <si>
    <t>551522011223-1</t>
  </si>
  <si>
    <t>ซึมกลาง</t>
  </si>
  <si>
    <t>551532022008-2</t>
  </si>
  <si>
    <t>เคยการ</t>
  </si>
  <si>
    <t>1336</t>
  </si>
  <si>
    <t>551532022007-4</t>
  </si>
  <si>
    <t>พุดหอม</t>
  </si>
  <si>
    <t>551532022047-0</t>
  </si>
  <si>
    <t>เทพกลาง</t>
  </si>
  <si>
    <t>551532022009-0</t>
  </si>
  <si>
    <t>ทาโนนนอก</t>
  </si>
  <si>
    <t>551743012009-5</t>
  </si>
  <si>
    <t>แก้วระหัน</t>
  </si>
  <si>
    <t>1401</t>
  </si>
  <si>
    <t>551743012001-2</t>
  </si>
  <si>
    <t>พุทธศานติ์บัณฑิต</t>
  </si>
  <si>
    <t>551531022026-6</t>
  </si>
  <si>
    <t>เชื้อนุ่น</t>
  </si>
  <si>
    <t>551743012022-8</t>
  </si>
  <si>
    <t>เรียนชาลี</t>
  </si>
  <si>
    <t>541521011098-2</t>
  </si>
  <si>
    <t>ศรีตะวัน</t>
  </si>
  <si>
    <t>1402</t>
  </si>
  <si>
    <t>551521011044-3</t>
  </si>
  <si>
    <t>ยกสันเทียะ</t>
  </si>
  <si>
    <t>551521033047-0</t>
  </si>
  <si>
    <t>นภาการ</t>
  </si>
  <si>
    <t>551521033038-9</t>
  </si>
  <si>
    <t>ตาสิ</t>
  </si>
  <si>
    <t>551522011208-2</t>
  </si>
  <si>
    <t>คืนประคอง</t>
  </si>
  <si>
    <t>1403</t>
  </si>
  <si>
    <t>551522011204-1</t>
  </si>
  <si>
    <t>ปิ่นสันเทียะ</t>
  </si>
  <si>
    <t>551522011205-8</t>
  </si>
  <si>
    <t>ทิพย์สันเทียะ</t>
  </si>
  <si>
    <t>551522011206-6</t>
  </si>
  <si>
    <t>551746012014-8</t>
  </si>
  <si>
    <t>หีนภู</t>
  </si>
  <si>
    <t>1404</t>
  </si>
  <si>
    <t>531762012025-6</t>
  </si>
  <si>
    <t>มุ่งก่อกลาง</t>
  </si>
  <si>
    <t>551731022023-9</t>
  </si>
  <si>
    <t>น่าชม</t>
  </si>
  <si>
    <t>551731022025-4</t>
  </si>
  <si>
    <t>ปานสุขสานต์</t>
  </si>
  <si>
    <t>551531011205-9</t>
  </si>
  <si>
    <t>หมอสัมฤทธิ์</t>
  </si>
  <si>
    <t>1405</t>
  </si>
  <si>
    <t>551531011215-8</t>
  </si>
  <si>
    <t>รัตนเมือง</t>
  </si>
  <si>
    <t>551531011021-0</t>
  </si>
  <si>
    <t>มาเมืองปัก</t>
  </si>
  <si>
    <t>551531011018-6</t>
  </si>
  <si>
    <t>นันท์ขุนทด</t>
  </si>
  <si>
    <t>541521033024-2</t>
  </si>
  <si>
    <t>เกิดมัง</t>
  </si>
  <si>
    <t>1406</t>
  </si>
  <si>
    <t>551521011053-4</t>
  </si>
  <si>
    <t>โพธิ์นอก</t>
  </si>
  <si>
    <t>521622012020-5</t>
  </si>
  <si>
    <t>ตะไลกลาง</t>
  </si>
  <si>
    <t>531625022028-7</t>
  </si>
  <si>
    <t>แสงราม</t>
  </si>
  <si>
    <t>1407</t>
  </si>
  <si>
    <t>531625022024-6</t>
  </si>
  <si>
    <t>กลีบกลาง</t>
  </si>
  <si>
    <t>531625022006-3</t>
  </si>
  <si>
    <t>กองทองนอก</t>
  </si>
  <si>
    <t>531625022010-5</t>
  </si>
  <si>
    <t>นาคพะเนา</t>
  </si>
  <si>
    <t>521622012018-9</t>
  </si>
  <si>
    <t>ขนาดกลาง</t>
  </si>
  <si>
    <t>1408</t>
  </si>
  <si>
    <t>551521011217-5</t>
  </si>
  <si>
    <t>ชิดพลกรัง</t>
  </si>
  <si>
    <t>541521022021-1</t>
  </si>
  <si>
    <t>ช่วยคูณขุนทด</t>
  </si>
  <si>
    <t>541521022032-8</t>
  </si>
  <si>
    <t>เกวียนนอก</t>
  </si>
  <si>
    <t>551762012022-8</t>
  </si>
  <si>
    <t>พินโคกสูง</t>
  </si>
  <si>
    <t>1409</t>
  </si>
  <si>
    <t>551521011226-6</t>
  </si>
  <si>
    <t>ช่วยงาน</t>
  </si>
  <si>
    <t>551762012020-2</t>
  </si>
  <si>
    <t>เกตุค้อ</t>
  </si>
  <si>
    <t>551762012007-9</t>
  </si>
  <si>
    <t>เศษคึมบง</t>
  </si>
  <si>
    <t>551521011233-2</t>
  </si>
  <si>
    <t>แสนสุข</t>
  </si>
  <si>
    <t>1410</t>
  </si>
  <si>
    <t>541521011015-6</t>
  </si>
  <si>
    <t>พวงสันเทียะ</t>
  </si>
  <si>
    <t>541521033016-8</t>
  </si>
  <si>
    <t>ไมสันเทียะ</t>
  </si>
  <si>
    <t>541531023427-8</t>
  </si>
  <si>
    <t>งัดสันเทียะ</t>
  </si>
  <si>
    <t>531521022057-7</t>
  </si>
  <si>
    <t>เผลอกระโทก</t>
  </si>
  <si>
    <t>1411</t>
  </si>
  <si>
    <t>531521022045-2</t>
  </si>
  <si>
    <t>สิมจันทึก</t>
  </si>
  <si>
    <t>531625022025-3</t>
  </si>
  <si>
    <t>สระจันทึก</t>
  </si>
  <si>
    <t>531521022053-6</t>
  </si>
  <si>
    <t>เข็มสันเทียะ</t>
  </si>
  <si>
    <t>551531023017-4</t>
  </si>
  <si>
    <t>ปิยะตันติ</t>
  </si>
  <si>
    <t>1412</t>
  </si>
  <si>
    <t>551531023019-0</t>
  </si>
  <si>
    <t>นวลใหม่</t>
  </si>
  <si>
    <t>551531023029-9</t>
  </si>
  <si>
    <t>ต๊ะสันเทียะ</t>
  </si>
  <si>
    <t>541531011030-4</t>
  </si>
  <si>
    <t>เช่นพิมาย</t>
  </si>
  <si>
    <t>551743012012-9</t>
  </si>
  <si>
    <t>ขำผักแว่น</t>
  </si>
  <si>
    <t>1413</t>
  </si>
  <si>
    <t>551743012023-6</t>
  </si>
  <si>
    <t>ทันจังหรีด</t>
  </si>
  <si>
    <t>551743012011-1</t>
  </si>
  <si>
    <t>ข่ายกระโทก</t>
  </si>
  <si>
    <t>551531023026-5</t>
  </si>
  <si>
    <t>อุทัย</t>
  </si>
  <si>
    <t>541531022011-1</t>
  </si>
  <si>
    <t>หาญจันทร์</t>
  </si>
  <si>
    <t>1414</t>
  </si>
  <si>
    <t>531523022027-6</t>
  </si>
  <si>
    <t>อาจศึก</t>
  </si>
  <si>
    <t>541531022028-5</t>
  </si>
  <si>
    <t>กิตติวิเชียรชัย</t>
  </si>
  <si>
    <t>551532022005-8</t>
  </si>
  <si>
    <t>จิรรัชตะสิริ</t>
  </si>
  <si>
    <t>551523022039-6</t>
  </si>
  <si>
    <t>แก้วมณี</t>
  </si>
  <si>
    <t>1415</t>
  </si>
  <si>
    <t>551521011054-2</t>
  </si>
  <si>
    <t>ทิศรักษ์</t>
  </si>
  <si>
    <t>551521011046-8</t>
  </si>
  <si>
    <t>พงศ์ญาติจันทึก</t>
  </si>
  <si>
    <t>551521011059-1</t>
  </si>
  <si>
    <t>กกกระโทก</t>
  </si>
  <si>
    <t>541521033009-3</t>
  </si>
  <si>
    <t>ต่อดอก</t>
  </si>
  <si>
    <t>1416</t>
  </si>
  <si>
    <t>541521033019-2</t>
  </si>
  <si>
    <t>แก้วกาญจณ์</t>
  </si>
  <si>
    <t>551522013034-0</t>
  </si>
  <si>
    <t>เจริญด่าน</t>
  </si>
  <si>
    <t>541521033013-5</t>
  </si>
  <si>
    <t>ชื่นโคกกรวด</t>
  </si>
  <si>
    <t>551722022018-8</t>
  </si>
  <si>
    <t>ธงสันเทียะ</t>
  </si>
  <si>
    <t>1417</t>
  </si>
  <si>
    <t>551762012011-1</t>
  </si>
  <si>
    <t>วงษ์ศรีไข</t>
  </si>
  <si>
    <t>551762012014-5</t>
  </si>
  <si>
    <t>551722022016-2</t>
  </si>
  <si>
    <t>กิ่งกระโทก</t>
  </si>
  <si>
    <t>541732012021-6</t>
  </si>
  <si>
    <t>สงสระน้อย</t>
  </si>
  <si>
    <t>1418</t>
  </si>
  <si>
    <t>551743012025-1</t>
  </si>
  <si>
    <t>กกสันเทียะ</t>
  </si>
  <si>
    <t>551751042015-9</t>
  </si>
  <si>
    <t>สิงหเนตรวัฒน์</t>
  </si>
  <si>
    <t>551521011211-8</t>
  </si>
  <si>
    <t>อินทร์อ่อน</t>
  </si>
  <si>
    <t>1419</t>
  </si>
  <si>
    <t>551521011084-9</t>
  </si>
  <si>
    <t>มอญสันเทียะ</t>
  </si>
  <si>
    <t>551521011071-6</t>
  </si>
  <si>
    <t>สันทัด</t>
  </si>
  <si>
    <t>551521011206-8</t>
  </si>
  <si>
    <t>นวลมะเริง</t>
  </si>
  <si>
    <t>1420</t>
  </si>
  <si>
    <t>551521011057-5</t>
  </si>
  <si>
    <t>นิลมัย</t>
  </si>
  <si>
    <t>541521022063-3</t>
  </si>
  <si>
    <t>สมุทรประภูต</t>
  </si>
  <si>
    <t>551521011087-2</t>
  </si>
  <si>
    <t>บัวบาน</t>
  </si>
  <si>
    <t>551521033079-3</t>
  </si>
  <si>
    <t>โกะขุนทด</t>
  </si>
  <si>
    <t>1421</t>
  </si>
  <si>
    <t>551521011047-6</t>
  </si>
  <si>
    <t>เกื้อกระโทก</t>
  </si>
  <si>
    <t>541762012018-9</t>
  </si>
  <si>
    <t>ซีกพุดซา</t>
  </si>
  <si>
    <t>551521033041-3</t>
  </si>
  <si>
    <t>บัตจัตุรัส</t>
  </si>
  <si>
    <t>541731022006-7</t>
  </si>
  <si>
    <t>อาจปรุ</t>
  </si>
  <si>
    <t>1422</t>
  </si>
  <si>
    <t>541721032004-1</t>
  </si>
  <si>
    <t>คำผาย</t>
  </si>
  <si>
    <t>541721032015-7</t>
  </si>
  <si>
    <t>โพธิ์หัก</t>
  </si>
  <si>
    <t>551532032069-2</t>
  </si>
  <si>
    <t>อุดมมา</t>
  </si>
  <si>
    <t>541632022027-3</t>
  </si>
  <si>
    <t>กลิ่นศรีสุข</t>
  </si>
  <si>
    <t>1423</t>
  </si>
  <si>
    <t>551752012019-5</t>
  </si>
  <si>
    <t>สุวิชาเชิดชู</t>
  </si>
  <si>
    <t>551532032071-8</t>
  </si>
  <si>
    <t>ง่วนสูงเนิน</t>
  </si>
  <si>
    <t>551521033006-6</t>
  </si>
  <si>
    <t>แซ่เฮง</t>
  </si>
  <si>
    <t>1424</t>
  </si>
  <si>
    <t>551522011007-8</t>
  </si>
  <si>
    <t>จำหน่ายโค</t>
  </si>
  <si>
    <t>521522012020-7</t>
  </si>
  <si>
    <t>ดนัยรัมย์</t>
  </si>
  <si>
    <t>551522011212-4</t>
  </si>
  <si>
    <t>สินนา</t>
  </si>
  <si>
    <t>531532022036-8</t>
  </si>
  <si>
    <t>วรรณนิจ</t>
  </si>
  <si>
    <t>1425</t>
  </si>
  <si>
    <t>531532022003-8</t>
  </si>
  <si>
    <t>พลอยฉิมพลี</t>
  </si>
  <si>
    <t>531532022033-5</t>
  </si>
  <si>
    <t>คุ้มอักษร</t>
  </si>
  <si>
    <t>531532022021-0</t>
  </si>
  <si>
    <t>หัวงธงกลาง</t>
  </si>
  <si>
    <t>541521033008-5</t>
  </si>
  <si>
    <t>โคจำนงค์</t>
  </si>
  <si>
    <t>1426</t>
  </si>
  <si>
    <t>551521011219-1</t>
  </si>
  <si>
    <t>ฐิติวัชรภรณ์</t>
  </si>
  <si>
    <t>541521033037-4</t>
  </si>
  <si>
    <t>เพิ่มสุขจิตร</t>
  </si>
  <si>
    <t>551521011049-2</t>
  </si>
  <si>
    <t>จัดนอก</t>
  </si>
  <si>
    <t>541522013002-0</t>
  </si>
  <si>
    <t>ศรีกระบุตร</t>
  </si>
  <si>
    <t>1427</t>
  </si>
  <si>
    <t>551522013023-3</t>
  </si>
  <si>
    <t>สาดพลกรัง</t>
  </si>
  <si>
    <t>551522012002-8</t>
  </si>
  <si>
    <t>เพียรสันเทียะ</t>
  </si>
  <si>
    <t>551522012009-3</t>
  </si>
  <si>
    <t>531762012009-0</t>
  </si>
  <si>
    <t>ฤทธิ์แก้ว</t>
  </si>
  <si>
    <t>1428</t>
  </si>
  <si>
    <t>541522013006-1</t>
  </si>
  <si>
    <t>คาดทะเล</t>
  </si>
  <si>
    <t>541522013008-7</t>
  </si>
  <si>
    <t>แก้วสาระภูมิ</t>
  </si>
  <si>
    <t>541522013009-5</t>
  </si>
  <si>
    <t>ยางเดิม</t>
  </si>
  <si>
    <t>1429</t>
  </si>
  <si>
    <t>551632022001-5</t>
  </si>
  <si>
    <t>521522012015-7</t>
  </si>
  <si>
    <t>พรมเสนา</t>
  </si>
  <si>
    <t>521632022016-0</t>
  </si>
  <si>
    <t>พงษ์เตชภณ</t>
  </si>
  <si>
    <t>551522013026-6</t>
  </si>
  <si>
    <t>เผื่อนสูงเนิน</t>
  </si>
  <si>
    <t>1430</t>
  </si>
  <si>
    <t>531532032053-1</t>
  </si>
  <si>
    <t>นามบุตร</t>
  </si>
  <si>
    <t>551825012035-5</t>
  </si>
  <si>
    <t>กายสันเทียะ</t>
  </si>
  <si>
    <t>551761022002-0</t>
  </si>
  <si>
    <t>มยุโรวาส</t>
  </si>
  <si>
    <t>1431</t>
  </si>
  <si>
    <t>551762012003-8</t>
  </si>
  <si>
    <t>ปักษี</t>
  </si>
  <si>
    <t>551762012006-1</t>
  </si>
  <si>
    <t>เจริญบุตร</t>
  </si>
  <si>
    <t>551762012008-7</t>
  </si>
  <si>
    <t>ละมุญมอญ</t>
  </si>
  <si>
    <t>541722022029-8</t>
  </si>
  <si>
    <t>ขอนัดกลาง</t>
  </si>
  <si>
    <t>1432</t>
  </si>
  <si>
    <t>531532032002-8</t>
  </si>
  <si>
    <t>จวงตะขบ</t>
  </si>
  <si>
    <t>531532032021-8</t>
  </si>
  <si>
    <t>พริกจำรูญ</t>
  </si>
  <si>
    <t>551521022087-9</t>
  </si>
  <si>
    <t>นาคสัมฤทธิ์</t>
  </si>
  <si>
    <t>531625022018-8</t>
  </si>
  <si>
    <t>โสภากุล</t>
  </si>
  <si>
    <t>1433</t>
  </si>
  <si>
    <t>531625022002-2</t>
  </si>
  <si>
    <t>พันธุ์ชาติ</t>
  </si>
  <si>
    <t>551521011026-0</t>
  </si>
  <si>
    <t>ตลาดขวัญ</t>
  </si>
  <si>
    <t>531625022004-8</t>
  </si>
  <si>
    <t>วิสุทธิญาณภิรมย์</t>
  </si>
  <si>
    <t>531625022019-6</t>
  </si>
  <si>
    <t>ปรูกระโทก</t>
  </si>
  <si>
    <t>1434</t>
  </si>
  <si>
    <t>531625022016-2</t>
  </si>
  <si>
    <t>551521011051-8</t>
  </si>
  <si>
    <t>จันทนันท์</t>
  </si>
  <si>
    <t>551521011052-6</t>
  </si>
  <si>
    <t>ไชยสูงเนิน</t>
  </si>
  <si>
    <t>551752012013-8</t>
  </si>
  <si>
    <t>ปานเขียว</t>
  </si>
  <si>
    <t>1435</t>
  </si>
  <si>
    <t>551531011224-0</t>
  </si>
  <si>
    <t>พบสันเทียะ</t>
  </si>
  <si>
    <t>551752012004-7</t>
  </si>
  <si>
    <t>ถ่ายสูงเนิน</t>
  </si>
  <si>
    <t>551752012026-0</t>
  </si>
  <si>
    <t>ปัดทาสี</t>
  </si>
  <si>
    <t>531623012026-8</t>
  </si>
  <si>
    <t>ชำนาญจิตร</t>
  </si>
  <si>
    <t>1436</t>
  </si>
  <si>
    <t>531623012007-8</t>
  </si>
  <si>
    <t>สีสมาน</t>
  </si>
  <si>
    <t>531623012011-0</t>
  </si>
  <si>
    <t>อันทะโน</t>
  </si>
  <si>
    <t>531623012010-2</t>
  </si>
  <si>
    <t>คำดำ</t>
  </si>
  <si>
    <t>551761022009-5</t>
  </si>
  <si>
    <t>สุนทรวรพจน์</t>
  </si>
  <si>
    <t>1501</t>
  </si>
  <si>
    <t>551761022016-0</t>
  </si>
  <si>
    <t>สุขขา</t>
  </si>
  <si>
    <t>551761022018-6</t>
  </si>
  <si>
    <t>วุฒพรม</t>
  </si>
  <si>
    <t>551761022031-9</t>
  </si>
  <si>
    <t>มหาบุตร</t>
  </si>
  <si>
    <t>551632022024-7</t>
  </si>
  <si>
    <t>ตันดิลก</t>
  </si>
  <si>
    <t>1502</t>
  </si>
  <si>
    <t>551521022083-8</t>
  </si>
  <si>
    <t>551632022034-6</t>
  </si>
  <si>
    <t>แซ่ตัง</t>
  </si>
  <si>
    <t>541622012016-9</t>
  </si>
  <si>
    <t>สุคนธามาศ</t>
  </si>
  <si>
    <t>1503</t>
  </si>
  <si>
    <t>541622012005-2</t>
  </si>
  <si>
    <t>ศรีวรรณพิมพ์</t>
  </si>
  <si>
    <t>541622012029-2</t>
  </si>
  <si>
    <t>มลกลาง</t>
  </si>
  <si>
    <t>551521011207-6</t>
  </si>
  <si>
    <t>กลั่นจังหรีด</t>
  </si>
  <si>
    <t>541632022008-3</t>
  </si>
  <si>
    <t>วงก์ณัฐวิชช์</t>
  </si>
  <si>
    <t>1504</t>
  </si>
  <si>
    <t>541625072035-9</t>
  </si>
  <si>
    <t>ติ๋วกระโทก</t>
  </si>
  <si>
    <t>541632022003-4</t>
  </si>
  <si>
    <t>สิทธิเสือ</t>
  </si>
  <si>
    <t>541632022006-7</t>
  </si>
  <si>
    <t>ศรีมุงคุล</t>
  </si>
  <si>
    <t>541522012023-7</t>
  </si>
  <si>
    <t>โกเสยะโยธิน</t>
  </si>
  <si>
    <t>1505</t>
  </si>
  <si>
    <t>551522011023-5</t>
  </si>
  <si>
    <t>จินดารัตน์</t>
  </si>
  <si>
    <t>551522011024-3</t>
  </si>
  <si>
    <t>ทองเลือม</t>
  </si>
  <si>
    <t>541521011023-0</t>
  </si>
  <si>
    <t>จิ๋ววิเศษ</t>
  </si>
  <si>
    <t>551521011014-6</t>
  </si>
  <si>
    <t>ดุจดา</t>
  </si>
  <si>
    <t>1506</t>
  </si>
  <si>
    <t>551521011085-6</t>
  </si>
  <si>
    <t>วงษ์กาศ</t>
  </si>
  <si>
    <t>531625022009-7</t>
  </si>
  <si>
    <t>พลรัตน์</t>
  </si>
  <si>
    <t>551521011011-2</t>
  </si>
  <si>
    <t>อุ่นทรัพย์</t>
  </si>
  <si>
    <t>551531011008-7</t>
  </si>
  <si>
    <t>เมืองมาก</t>
  </si>
  <si>
    <t>1507</t>
  </si>
  <si>
    <t>551531011213-3</t>
  </si>
  <si>
    <t>วงศ์วิลา</t>
  </si>
  <si>
    <t>551531011007-9</t>
  </si>
  <si>
    <t>อังกรโพธิ์กลาง</t>
  </si>
  <si>
    <t>551531011227-3</t>
  </si>
  <si>
    <t>เชิดสูงเนิน</t>
  </si>
  <si>
    <t>541623012010-0</t>
  </si>
  <si>
    <t>ชอบสระน้อย</t>
  </si>
  <si>
    <t>541532022001-0</t>
  </si>
  <si>
    <t>1509</t>
  </si>
  <si>
    <t>551521022053-1</t>
  </si>
  <si>
    <t>คำย้อย</t>
  </si>
  <si>
    <t>541532022038-2</t>
  </si>
  <si>
    <t>541532022002-8</t>
  </si>
  <si>
    <t>มุ่งภู่กลาง</t>
  </si>
  <si>
    <t>551625072040-6</t>
  </si>
  <si>
    <t>วิสัยดี</t>
  </si>
  <si>
    <t>1510</t>
  </si>
  <si>
    <t>551824042048-5</t>
  </si>
  <si>
    <t>ด่านกระโทก</t>
  </si>
  <si>
    <t>551764012006-7</t>
  </si>
  <si>
    <t>ฉัตร์ไตรภพ</t>
  </si>
  <si>
    <t>551764012007-5</t>
  </si>
  <si>
    <t>สอบใหม่</t>
  </si>
  <si>
    <t>551522011004-5</t>
  </si>
  <si>
    <t>หิรัญรัตน์</t>
  </si>
  <si>
    <t>1511</t>
  </si>
  <si>
    <t>541522012016-1</t>
  </si>
  <si>
    <t>ประจิตร</t>
  </si>
  <si>
    <t>551522011001-1</t>
  </si>
  <si>
    <t>ทันท่าหว้า</t>
  </si>
  <si>
    <t>551523011011-8</t>
  </si>
  <si>
    <t>เปรี่ยมกระโทก</t>
  </si>
  <si>
    <t>1512</t>
  </si>
  <si>
    <t>551523011001-9</t>
  </si>
  <si>
    <t>ถนอมพลกรัง</t>
  </si>
  <si>
    <t>551523011022-5</t>
  </si>
  <si>
    <t>ไต่ครบุรี</t>
  </si>
  <si>
    <t>551523011209-8</t>
  </si>
  <si>
    <t>แผ้วครบุรี</t>
  </si>
  <si>
    <t>551521022019-2</t>
  </si>
  <si>
    <t>ศรีปรุ</t>
  </si>
  <si>
    <t>1513</t>
  </si>
  <si>
    <t>551521022033-3</t>
  </si>
  <si>
    <t>เฉียบแหลม</t>
  </si>
  <si>
    <t>551521022058-0</t>
  </si>
  <si>
    <t>พรศรี</t>
  </si>
  <si>
    <t>551521022048-1</t>
  </si>
  <si>
    <t>บั้งจันอัด</t>
  </si>
  <si>
    <t>551764012023-2</t>
  </si>
  <si>
    <t>ศิริปรุ</t>
  </si>
  <si>
    <t>1514</t>
  </si>
  <si>
    <t>551764012004-2</t>
  </si>
  <si>
    <t>พบกลาง</t>
  </si>
  <si>
    <t>551764012020-8</t>
  </si>
  <si>
    <t>สมปานวัง</t>
  </si>
  <si>
    <t>551764012001-8</t>
  </si>
  <si>
    <t>มนกลาง</t>
  </si>
  <si>
    <t>551743012017-8</t>
  </si>
  <si>
    <t>กระจ่างโพธิ์</t>
  </si>
  <si>
    <t>1515</t>
  </si>
  <si>
    <t>551625072019-0</t>
  </si>
  <si>
    <t>พลายจันทร์</t>
  </si>
  <si>
    <t>551743012026-9</t>
  </si>
  <si>
    <t>สงค์สันเทียะ</t>
  </si>
  <si>
    <t>551743012016-0</t>
  </si>
  <si>
    <t>บัวใหญ่</t>
  </si>
  <si>
    <t>551532022013-2</t>
  </si>
  <si>
    <t>ชอบธรรม</t>
  </si>
  <si>
    <t>1516</t>
  </si>
  <si>
    <t>551532022015-7</t>
  </si>
  <si>
    <t>บัวพิมาย</t>
  </si>
  <si>
    <t>551522012015-0</t>
  </si>
  <si>
    <t>แรมพิมาย</t>
  </si>
  <si>
    <t>551522012018-4</t>
  </si>
  <si>
    <t>กล้าพิมาย</t>
  </si>
  <si>
    <t>541732012031-5</t>
  </si>
  <si>
    <t>ปูกระโทก</t>
  </si>
  <si>
    <t>1517</t>
  </si>
  <si>
    <t>541732012028-1</t>
  </si>
  <si>
    <t>ราชกระโทก</t>
  </si>
  <si>
    <t>551732012010-6</t>
  </si>
  <si>
    <t>ศุภลักษณ์</t>
  </si>
  <si>
    <t>541732012020-8</t>
  </si>
  <si>
    <t>ป้อมสนาม</t>
  </si>
  <si>
    <t>531824042038-1</t>
  </si>
  <si>
    <t>นารีรักษ์</t>
  </si>
  <si>
    <t>1518</t>
  </si>
  <si>
    <t>551531011233-1</t>
  </si>
  <si>
    <t>กองเมือง</t>
  </si>
  <si>
    <t>531824042028-2</t>
  </si>
  <si>
    <t>ค้าทันเจริญ</t>
  </si>
  <si>
    <t>531824042042-3</t>
  </si>
  <si>
    <t>หน่ายสูงเนิน</t>
  </si>
  <si>
    <t>521532032059-0</t>
  </si>
  <si>
    <t>1519</t>
  </si>
  <si>
    <t>531622012018-7</t>
  </si>
  <si>
    <t>บุตรกระโทก</t>
  </si>
  <si>
    <t>531622012028-6</t>
  </si>
  <si>
    <t>สอนจังหรีด</t>
  </si>
  <si>
    <t>531532032026-7</t>
  </si>
  <si>
    <t>เรืองเกษม</t>
  </si>
  <si>
    <t>531623012027-6</t>
  </si>
  <si>
    <t>ณ ร้อยเอ็ด</t>
  </si>
  <si>
    <t>1521</t>
  </si>
  <si>
    <t>551532032055-1</t>
  </si>
  <si>
    <t>จันทวิลา</t>
  </si>
  <si>
    <t>541532032021-6</t>
  </si>
  <si>
    <t>แรมลี</t>
  </si>
  <si>
    <t>1522</t>
  </si>
  <si>
    <t>551523022036-2</t>
  </si>
  <si>
    <t>สถิตย์วงศ์</t>
  </si>
  <si>
    <t>551523022030-5</t>
  </si>
  <si>
    <t>ชูชีพ</t>
  </si>
  <si>
    <t>541532032036-4</t>
  </si>
  <si>
    <t>นามกลาง</t>
  </si>
  <si>
    <t>551532022026-4</t>
  </si>
  <si>
    <t>อินชิดจุ้ย</t>
  </si>
  <si>
    <t>1523</t>
  </si>
  <si>
    <t>541521033048-1</t>
  </si>
  <si>
    <t>ไทยกลาง</t>
  </si>
  <si>
    <t>541521033057-2</t>
  </si>
  <si>
    <t>พันธ์ศรี</t>
  </si>
  <si>
    <t>541521033045-7</t>
  </si>
  <si>
    <t>พันธมี</t>
  </si>
  <si>
    <t>551521011232-4</t>
  </si>
  <si>
    <t>โตนอก</t>
  </si>
  <si>
    <t>1524</t>
  </si>
  <si>
    <t>541532032068-7</t>
  </si>
  <si>
    <t>เขตเขว้า</t>
  </si>
  <si>
    <t>551521033030-6</t>
  </si>
  <si>
    <t>โมเหล็ก</t>
  </si>
  <si>
    <t>551521033082-7</t>
  </si>
  <si>
    <t>พายสำโรง</t>
  </si>
  <si>
    <t>531522012039-5</t>
  </si>
  <si>
    <t>เสาะขุนทด</t>
  </si>
  <si>
    <t>1525</t>
  </si>
  <si>
    <t>551522011016-9</t>
  </si>
  <si>
    <t>ไตรรงค์</t>
  </si>
  <si>
    <t>531632022013-5</t>
  </si>
  <si>
    <t>คงศรี</t>
  </si>
  <si>
    <t>531522012018-9</t>
  </si>
  <si>
    <t>ดวดกระโทก</t>
  </si>
  <si>
    <t>541762012009-8</t>
  </si>
  <si>
    <t>ทองโสภา</t>
  </si>
  <si>
    <t>1526</t>
  </si>
  <si>
    <t>551522011217-3</t>
  </si>
  <si>
    <t>ศรีอุทัย</t>
  </si>
  <si>
    <t>551531023020-8</t>
  </si>
  <si>
    <t>จงรุ่งกลาง</t>
  </si>
  <si>
    <t>551764012009-1</t>
  </si>
  <si>
    <t>มิกขุนทด</t>
  </si>
  <si>
    <t>531521022042-9</t>
  </si>
  <si>
    <t>วงษา</t>
  </si>
  <si>
    <t>1527</t>
  </si>
  <si>
    <t>551521011096-3</t>
  </si>
  <si>
    <t>พรหนองแสน</t>
  </si>
  <si>
    <t>531522012032-0</t>
  </si>
  <si>
    <t>แดนไธสง</t>
  </si>
  <si>
    <t>531522012015-5</t>
  </si>
  <si>
    <t>ตั้งเจริญพัฒนกิจ</t>
  </si>
  <si>
    <t>541521022008-8</t>
  </si>
  <si>
    <t>พูลมาก</t>
  </si>
  <si>
    <t>1528</t>
  </si>
  <si>
    <t>541521022030-2</t>
  </si>
  <si>
    <t>สีจุ้ย</t>
  </si>
  <si>
    <t>541521022067-4</t>
  </si>
  <si>
    <t>คำสารีรักษ์</t>
  </si>
  <si>
    <t>541521022034-4</t>
  </si>
  <si>
    <t>ภูมิวัน</t>
  </si>
  <si>
    <t>551521011019-5</t>
  </si>
  <si>
    <t>ผินภักดี</t>
  </si>
  <si>
    <t>1529</t>
  </si>
  <si>
    <t>531622012001-3</t>
  </si>
  <si>
    <t>ทดสูงเนิน</t>
  </si>
  <si>
    <t>531622012013-8</t>
  </si>
  <si>
    <t>แยบสูงเนิน</t>
  </si>
  <si>
    <t>531622012009-6</t>
  </si>
  <si>
    <t>ศรีนัครินทร์</t>
  </si>
  <si>
    <t>551722022025-3</t>
  </si>
  <si>
    <t>ศรีทองหลาง</t>
  </si>
  <si>
    <t>1530</t>
  </si>
  <si>
    <t>551722022026-1</t>
  </si>
  <si>
    <t>รังษี</t>
  </si>
  <si>
    <t>551722022029-5</t>
  </si>
  <si>
    <t>ภิรมย์กิจ</t>
  </si>
  <si>
    <t>551521011016-1</t>
  </si>
  <si>
    <t>ลอยสูงเนิน</t>
  </si>
  <si>
    <t>551622012003-4</t>
  </si>
  <si>
    <t>เนยสูงเนิน</t>
  </si>
  <si>
    <t>1531</t>
  </si>
  <si>
    <t>541622012008-6</t>
  </si>
  <si>
    <t>สอนสิลา</t>
  </si>
  <si>
    <t>551521033087-6</t>
  </si>
  <si>
    <t>หลุ่งเป้า</t>
  </si>
  <si>
    <t>551531011003-8</t>
  </si>
  <si>
    <t>กรีเทพ</t>
  </si>
  <si>
    <t>1532</t>
  </si>
  <si>
    <t>551522011005-2</t>
  </si>
  <si>
    <t>พลยุทธภูมิ</t>
  </si>
  <si>
    <t>551523011205-6</t>
  </si>
  <si>
    <t>ใจชอบ</t>
  </si>
  <si>
    <t>551522011019-3</t>
  </si>
  <si>
    <t>จี้พันดุง</t>
  </si>
  <si>
    <t>541532022016-8</t>
  </si>
  <si>
    <t>แก่งสันเทียะ</t>
  </si>
  <si>
    <t>1533</t>
  </si>
  <si>
    <t>551531022012-6</t>
  </si>
  <si>
    <t>ประจันตะเสน</t>
  </si>
  <si>
    <t>551531011009-5</t>
  </si>
  <si>
    <t>เพียมะณี</t>
  </si>
  <si>
    <t>521532032046-7</t>
  </si>
  <si>
    <t>หอมเหย</t>
  </si>
  <si>
    <t>551521022017-6</t>
  </si>
  <si>
    <t>พิมพ์ปรุ</t>
  </si>
  <si>
    <t>1534</t>
  </si>
  <si>
    <t>551521022062-2</t>
  </si>
  <si>
    <t>แข็งขัน</t>
  </si>
  <si>
    <t>521743012006-8</t>
  </si>
  <si>
    <t>การรุ่งเรือง</t>
  </si>
  <si>
    <t>551521022044-0</t>
  </si>
  <si>
    <t>บุญเพิ่ม</t>
  </si>
  <si>
    <t>551531023002-6</t>
  </si>
  <si>
    <t>ใจช่วง</t>
  </si>
  <si>
    <t>1535</t>
  </si>
  <si>
    <t>551531023038-0</t>
  </si>
  <si>
    <t>นัยผัส</t>
  </si>
  <si>
    <t>551531023033-1</t>
  </si>
  <si>
    <t>แสงโพธิ์รัมย์</t>
  </si>
  <si>
    <t>551531023025-7</t>
  </si>
  <si>
    <t>ทะแพงพันธ์</t>
  </si>
  <si>
    <t>541521033084-6</t>
  </si>
  <si>
    <t>ศรีสมบูรณ์</t>
  </si>
  <si>
    <t>1536</t>
  </si>
  <si>
    <t>541521033060-6</t>
  </si>
  <si>
    <t>บุตรรัตน์</t>
  </si>
  <si>
    <t>551521033057-9</t>
  </si>
  <si>
    <t>เชิดพานิช</t>
  </si>
  <si>
    <t>541521033038-2</t>
  </si>
  <si>
    <t>ศรีวิเศษ</t>
  </si>
  <si>
    <t>541521011014-9</t>
  </si>
  <si>
    <t>ทรงจอหอ</t>
  </si>
  <si>
    <t>1601</t>
  </si>
  <si>
    <t>541521011018-0</t>
  </si>
  <si>
    <t>หิงสันเทียะ</t>
  </si>
  <si>
    <t>551521011082-3</t>
  </si>
  <si>
    <t>ยาวสูงเนิน</t>
  </si>
  <si>
    <t>541521011084-2</t>
  </si>
  <si>
    <t>ชำนานพะเนา</t>
  </si>
  <si>
    <t>551722022014-7</t>
  </si>
  <si>
    <t>เครือศรี</t>
  </si>
  <si>
    <t>1602</t>
  </si>
  <si>
    <t>551722022007-1</t>
  </si>
  <si>
    <t>ดวงปากดี</t>
  </si>
  <si>
    <t>551523011213-0</t>
  </si>
  <si>
    <t>ครึ้มกลางพลู</t>
  </si>
  <si>
    <t>551722022027-9</t>
  </si>
  <si>
    <t>เกมสูงเนิน</t>
  </si>
  <si>
    <t>551521022081-2</t>
  </si>
  <si>
    <t>กกแก้ว</t>
  </si>
  <si>
    <t>1603</t>
  </si>
  <si>
    <t>541625022025-1</t>
  </si>
  <si>
    <t>เข็มชู</t>
  </si>
  <si>
    <t>551826012023-9</t>
  </si>
  <si>
    <t>กาตะคุ</t>
  </si>
  <si>
    <t>541625022030-1</t>
  </si>
  <si>
    <t>ขุลาศรี</t>
  </si>
  <si>
    <t>541521011007-3</t>
  </si>
  <si>
    <t>พิศนอก</t>
  </si>
  <si>
    <t>1604</t>
  </si>
  <si>
    <t>541521011048-7</t>
  </si>
  <si>
    <t>ลีหล้าน้อย</t>
  </si>
  <si>
    <t>541521011003-2</t>
  </si>
  <si>
    <t>เยาว์สูงเนิน</t>
  </si>
  <si>
    <t>551521011042-7</t>
  </si>
  <si>
    <t>สาสิทธิ์</t>
  </si>
  <si>
    <t>1605</t>
  </si>
  <si>
    <t>541521011030-5</t>
  </si>
  <si>
    <t>541521011060-2</t>
  </si>
  <si>
    <t>ศรีบุญเรือง</t>
  </si>
  <si>
    <t>541521011069-3</t>
  </si>
  <si>
    <t>เภาพาน</t>
  </si>
  <si>
    <t>551622012001-8</t>
  </si>
  <si>
    <t>บับพาสี</t>
  </si>
  <si>
    <t>1606</t>
  </si>
  <si>
    <t>551622012019-0</t>
  </si>
  <si>
    <t>เจ๊กจันทึก</t>
  </si>
  <si>
    <t>551622012013-3</t>
  </si>
  <si>
    <t>นิ่มนวล</t>
  </si>
  <si>
    <t>551622012009-1</t>
  </si>
  <si>
    <t>ดุลย์ไธสง</t>
  </si>
  <si>
    <t>541521011070-1</t>
  </si>
  <si>
    <t>พรวนกลาง</t>
  </si>
  <si>
    <t>1607</t>
  </si>
  <si>
    <t>551531011212-5</t>
  </si>
  <si>
    <t>พิมพ์จินดา</t>
  </si>
  <si>
    <t>541521011205-3</t>
  </si>
  <si>
    <t>อินทร์หมื่นไวย</t>
  </si>
  <si>
    <t>541521011079-2</t>
  </si>
  <si>
    <t>551521033064-5</t>
  </si>
  <si>
    <t>วิถี</t>
  </si>
  <si>
    <t>1608</t>
  </si>
  <si>
    <t>551521033075-1</t>
  </si>
  <si>
    <t>นิลมาลี</t>
  </si>
  <si>
    <t>551733023432-7</t>
  </si>
  <si>
    <t>เหวสูงเนิน</t>
  </si>
  <si>
    <t>521531022036-2</t>
  </si>
  <si>
    <t>มาสำโรง</t>
  </si>
  <si>
    <t>551622012005-9</t>
  </si>
  <si>
    <t>พุทธิชน</t>
  </si>
  <si>
    <t>1609</t>
  </si>
  <si>
    <t>551622012018-2</t>
  </si>
  <si>
    <t>คบทองหลาง</t>
  </si>
  <si>
    <t>551622012002-6</t>
  </si>
  <si>
    <t>ยังบริบูรณ์</t>
  </si>
  <si>
    <t>551622012014-1</t>
  </si>
  <si>
    <t>หวังสกุล</t>
  </si>
  <si>
    <t>551521011086-4</t>
  </si>
  <si>
    <t>จันทร์ทา</t>
  </si>
  <si>
    <t>1610</t>
  </si>
  <si>
    <t>551521011010-4</t>
  </si>
  <si>
    <t>ขอด่านกลาง</t>
  </si>
  <si>
    <t>551521011215-9</t>
  </si>
  <si>
    <t>พิมายกลาง</t>
  </si>
  <si>
    <t>541521011025-5</t>
  </si>
  <si>
    <t>พรมหมื่นไวย</t>
  </si>
  <si>
    <t>551521022037-4</t>
  </si>
  <si>
    <t>ดาทอง</t>
  </si>
  <si>
    <t>1611</t>
  </si>
  <si>
    <t>551521022070-5</t>
  </si>
  <si>
    <t>ศรีโท</t>
  </si>
  <si>
    <t>551521022054-9</t>
  </si>
  <si>
    <t>วงศักดา</t>
  </si>
  <si>
    <t>551521022076-2</t>
  </si>
  <si>
    <t>แสนคนึง</t>
  </si>
  <si>
    <t>551521011043-5</t>
  </si>
  <si>
    <t>นามนนท์</t>
  </si>
  <si>
    <t>1612</t>
  </si>
  <si>
    <t>541521011077-6</t>
  </si>
  <si>
    <t>อมฤกษ์</t>
  </si>
  <si>
    <t>541532023620-6</t>
  </si>
  <si>
    <t>ดวงน้อย</t>
  </si>
  <si>
    <t>541521011033-9</t>
  </si>
  <si>
    <t>ทองภูบาล</t>
  </si>
  <si>
    <t>521532022040-2</t>
  </si>
  <si>
    <t>แสนกล้า</t>
  </si>
  <si>
    <t>1613</t>
  </si>
  <si>
    <t>551521011068-2</t>
  </si>
  <si>
    <t>แจ่มฟ้า</t>
  </si>
  <si>
    <t>551521011091-4</t>
  </si>
  <si>
    <t>เหลี่ยมดี</t>
  </si>
  <si>
    <t>551521011064-1</t>
  </si>
  <si>
    <t>ศรีสังข์</t>
  </si>
  <si>
    <t>541521011034-7</t>
  </si>
  <si>
    <t>ขันทเจริญ</t>
  </si>
  <si>
    <t>1614</t>
  </si>
  <si>
    <t>541521011038-8</t>
  </si>
  <si>
    <t>เหนือพันธ์</t>
  </si>
  <si>
    <t>541521011028-9</t>
  </si>
  <si>
    <t>แขรัมย์</t>
  </si>
  <si>
    <t>541625022019-4</t>
  </si>
  <si>
    <t>ภักดี</t>
  </si>
  <si>
    <t>551532032070-0</t>
  </si>
  <si>
    <t>มณีรักษ์</t>
  </si>
  <si>
    <t>1615</t>
  </si>
  <si>
    <t>551521033078-5</t>
  </si>
  <si>
    <t>สิมาวัน</t>
  </si>
  <si>
    <t>551521033001-7</t>
  </si>
  <si>
    <t>บุดดีเสาร์</t>
  </si>
  <si>
    <t>521531022017-2</t>
  </si>
  <si>
    <t>พลับจะโปะ</t>
  </si>
  <si>
    <t>551521011002-1</t>
  </si>
  <si>
    <t>จงเจริญสมบัติ</t>
  </si>
  <si>
    <t>1616</t>
  </si>
  <si>
    <t>541521011214-5</t>
  </si>
  <si>
    <t>คงค้ำจุน</t>
  </si>
  <si>
    <t>541521011225-1</t>
  </si>
  <si>
    <t>เก่งกลางดอน</t>
  </si>
  <si>
    <t>541521011213-7</t>
  </si>
  <si>
    <t>ทศสูงเนิน</t>
  </si>
  <si>
    <t>541523022008-4</t>
  </si>
  <si>
    <t>ปักการะถา</t>
  </si>
  <si>
    <t>1617</t>
  </si>
  <si>
    <t>541523022043-1</t>
  </si>
  <si>
    <t>ชูสระน้อย</t>
  </si>
  <si>
    <t>551521011005-4</t>
  </si>
  <si>
    <t>เมยขุนทด</t>
  </si>
  <si>
    <t>541523022038-1</t>
  </si>
  <si>
    <t>ชาพันธ์</t>
  </si>
  <si>
    <t>551521011008-8</t>
  </si>
  <si>
    <t>เจียงวิเศษ</t>
  </si>
  <si>
    <t>1618</t>
  </si>
  <si>
    <t>541732012026-5</t>
  </si>
  <si>
    <t>พันธุ์ตะขบ</t>
  </si>
  <si>
    <t>541531011013-0</t>
  </si>
  <si>
    <t>หร่องคำภา</t>
  </si>
  <si>
    <t>541531011027-0</t>
  </si>
  <si>
    <t>หาสุข</t>
  </si>
  <si>
    <t>531522011218-6</t>
  </si>
  <si>
    <t>ศรีบุตร</t>
  </si>
  <si>
    <t>1619</t>
  </si>
  <si>
    <t>551522011228-0</t>
  </si>
  <si>
    <t>โลนไธสง</t>
  </si>
  <si>
    <t>531522011219-4</t>
  </si>
  <si>
    <t>โคมพุดซา</t>
  </si>
  <si>
    <t>531521022064-3</t>
  </si>
  <si>
    <t>ดาสูงเนิน</t>
  </si>
  <si>
    <t>1620</t>
  </si>
  <si>
    <t>541532032012-5</t>
  </si>
  <si>
    <t>ด่านตระกูล</t>
  </si>
  <si>
    <t>551521033046-2</t>
  </si>
  <si>
    <t>ฐาธะนัตร์</t>
  </si>
  <si>
    <t>551521033058-7</t>
  </si>
  <si>
    <t>ฮวดจันทึก</t>
  </si>
  <si>
    <t>551521011023-7</t>
  </si>
  <si>
    <t>จี๋คีรี</t>
  </si>
  <si>
    <t>1621</t>
  </si>
  <si>
    <t>521531022024-8</t>
  </si>
  <si>
    <t>ขำพะเนาว์</t>
  </si>
  <si>
    <t>551521011067-4</t>
  </si>
  <si>
    <t>เทพา</t>
  </si>
  <si>
    <t>541625022003-8</t>
  </si>
  <si>
    <t>บุญนาสำโรง</t>
  </si>
  <si>
    <t>541625022007-9</t>
  </si>
  <si>
    <t>ขิขุนทด</t>
  </si>
  <si>
    <t>1622</t>
  </si>
  <si>
    <t>531521022046-0</t>
  </si>
  <si>
    <t>วงศ์สมิตกุล</t>
  </si>
  <si>
    <t>531521022037-9</t>
  </si>
  <si>
    <t>ปรีศิริ</t>
  </si>
  <si>
    <t>541521011013-1</t>
  </si>
  <si>
    <t>เชื้อโชติ</t>
  </si>
  <si>
    <t>551622012015-8</t>
  </si>
  <si>
    <t>เนินกลาง</t>
  </si>
  <si>
    <t>1623</t>
  </si>
  <si>
    <t>551622012017-4</t>
  </si>
  <si>
    <t>ครงูเหลือม</t>
  </si>
  <si>
    <t>551622012021-6</t>
  </si>
  <si>
    <t>รอดหนู</t>
  </si>
  <si>
    <t>551622012024-0</t>
  </si>
  <si>
    <t>คูณพล</t>
  </si>
  <si>
    <t>541521033015-0</t>
  </si>
  <si>
    <t>เปลี่ยนสำโรง</t>
  </si>
  <si>
    <t>1624</t>
  </si>
  <si>
    <t>551521011080-7</t>
  </si>
  <si>
    <t>บุญเศษ</t>
  </si>
  <si>
    <t>551521022027-5</t>
  </si>
  <si>
    <t>ฝีมือสาร</t>
  </si>
  <si>
    <t>541521033020-0</t>
  </si>
  <si>
    <t>ชัยสถาพรสกุล</t>
  </si>
  <si>
    <t>521625022018-0</t>
  </si>
  <si>
    <t>สาหร่ายสำโรง</t>
  </si>
  <si>
    <t>1625</t>
  </si>
  <si>
    <t>551751043008-3</t>
  </si>
  <si>
    <t>จั่วสันเทียะ</t>
  </si>
  <si>
    <t>1626</t>
  </si>
  <si>
    <t>551751042007-6</t>
  </si>
  <si>
    <t>ผำนอก</t>
  </si>
  <si>
    <t>551751042001-9</t>
  </si>
  <si>
    <t>แคลนกระโทก</t>
  </si>
  <si>
    <t>551751042008-4</t>
  </si>
  <si>
    <t>โพธิ์ทอง</t>
  </si>
  <si>
    <t>541625022001-2</t>
  </si>
  <si>
    <t>นรสิทธิพงษ์</t>
  </si>
  <si>
    <t>1627</t>
  </si>
  <si>
    <t>541625022006-1</t>
  </si>
  <si>
    <t>ป้ายจัตุรัส</t>
  </si>
  <si>
    <t>541625022005-3</t>
  </si>
  <si>
    <t>มุกขุนทด</t>
  </si>
  <si>
    <t>551521033032-2</t>
  </si>
  <si>
    <t>แสดใหม่</t>
  </si>
  <si>
    <t>1628</t>
  </si>
  <si>
    <t>541521033040-8</t>
  </si>
  <si>
    <t>กำแหง</t>
  </si>
  <si>
    <t>541521033033-3</t>
  </si>
  <si>
    <t>ชุ่มขุนทด</t>
  </si>
  <si>
    <t>551521033018-1</t>
  </si>
  <si>
    <t>ข้อสูงเนิน</t>
  </si>
  <si>
    <t>551522011221-5</t>
  </si>
  <si>
    <t>1629</t>
  </si>
  <si>
    <t>551522011209-0</t>
  </si>
  <si>
    <t>หวังช่วยกลาง</t>
  </si>
  <si>
    <t>551522011028-4</t>
  </si>
  <si>
    <t>กาวกระโทก</t>
  </si>
  <si>
    <t>541522012030-2</t>
  </si>
  <si>
    <t>ชนะนาญ</t>
  </si>
  <si>
    <t>551521011040-1</t>
  </si>
  <si>
    <t>แก้วโนนเฮ้า</t>
  </si>
  <si>
    <t>1630</t>
  </si>
  <si>
    <t>551521011078-1</t>
  </si>
  <si>
    <t>พิบูลรัตน์</t>
  </si>
  <si>
    <t>541521011063-6</t>
  </si>
  <si>
    <t>คอกขุนทด</t>
  </si>
  <si>
    <t>551521011035-1</t>
  </si>
  <si>
    <t>ตังตา</t>
  </si>
  <si>
    <t>551521022012-7</t>
  </si>
  <si>
    <t>ก้อนสำโรง</t>
  </si>
  <si>
    <t>1631</t>
  </si>
  <si>
    <t>551532022004-1</t>
  </si>
  <si>
    <t>กุนอก</t>
  </si>
  <si>
    <t>551521022080-4</t>
  </si>
  <si>
    <t>แก้วจอหอ</t>
  </si>
  <si>
    <t>551532032020-5</t>
  </si>
  <si>
    <t>ชาญณรงค์</t>
  </si>
  <si>
    <t>551625072026-5</t>
  </si>
  <si>
    <t>ดีชัย</t>
  </si>
  <si>
    <t>1632</t>
  </si>
  <si>
    <t>551625072022-4</t>
  </si>
  <si>
    <t>ทองไทย</t>
  </si>
  <si>
    <t>551632022013-0</t>
  </si>
  <si>
    <t>โภคาสัมฤทธิ์</t>
  </si>
  <si>
    <t>551622012006-7</t>
  </si>
  <si>
    <t>แหลมจันทึก</t>
  </si>
  <si>
    <t>551733022001-1</t>
  </si>
  <si>
    <t>นิราศสูงเนิน</t>
  </si>
  <si>
    <t>1633</t>
  </si>
  <si>
    <t>551733023022-6</t>
  </si>
  <si>
    <t>หมู่เกษม</t>
  </si>
  <si>
    <t>551733023029-1</t>
  </si>
  <si>
    <t>ขวัญชูนู</t>
  </si>
  <si>
    <t>551733022028-4</t>
  </si>
  <si>
    <t>คบด่านกลาง</t>
  </si>
  <si>
    <t>551732012021-3</t>
  </si>
  <si>
    <t>ทองมาตรา</t>
  </si>
  <si>
    <t>1634</t>
  </si>
  <si>
    <t>551521022010-1</t>
  </si>
  <si>
    <t>เลิศแสงธรรม</t>
  </si>
  <si>
    <t>551521022005-1</t>
  </si>
  <si>
    <t>กานต์นนทกร</t>
  </si>
  <si>
    <t>551522012026-7</t>
  </si>
  <si>
    <t>ลาภใหญ่</t>
  </si>
  <si>
    <t>551531022002-7</t>
  </si>
  <si>
    <t>1635</t>
  </si>
  <si>
    <t>551531022030-8</t>
  </si>
  <si>
    <t>เปล้ากระโทก</t>
  </si>
  <si>
    <t>551531022031-6</t>
  </si>
  <si>
    <t>มันกระโทก</t>
  </si>
  <si>
    <t>551531022022-5</t>
  </si>
  <si>
    <t>ผะเผิน</t>
  </si>
  <si>
    <t>551622012007-5</t>
  </si>
  <si>
    <t>วอนอก</t>
  </si>
  <si>
    <t>1636</t>
  </si>
  <si>
    <t>551623012005-7</t>
  </si>
  <si>
    <t>อรุณรัมย์</t>
  </si>
  <si>
    <t>551623012001-6</t>
  </si>
  <si>
    <t>ฤทธิ์ดอน</t>
  </si>
  <si>
    <t>551623012004-0</t>
  </si>
  <si>
    <t>สัตย์ซื่อ</t>
  </si>
  <si>
    <t>551825012004-1</t>
  </si>
  <si>
    <t>ศรีหิน</t>
  </si>
  <si>
    <t>1701</t>
  </si>
  <si>
    <t>551825012025-6</t>
  </si>
  <si>
    <t>ด่านนอก</t>
  </si>
  <si>
    <t>551825012015-7</t>
  </si>
  <si>
    <t>โทนสูงเนิน</t>
  </si>
  <si>
    <t>551825012028-0</t>
  </si>
  <si>
    <t>พรขุนทด</t>
  </si>
  <si>
    <t>551632022016-3</t>
  </si>
  <si>
    <t>ศรีอภัย</t>
  </si>
  <si>
    <t>1702</t>
  </si>
  <si>
    <t>551632022011-4</t>
  </si>
  <si>
    <t>ชม้ายกุล</t>
  </si>
  <si>
    <t>551632022009-8</t>
  </si>
  <si>
    <t>551632022035-3</t>
  </si>
  <si>
    <t>โกจันทึก</t>
  </si>
  <si>
    <t>541532022009-3</t>
  </si>
  <si>
    <t>ขวัญกลาง</t>
  </si>
  <si>
    <t>1703</t>
  </si>
  <si>
    <t>551743012003-8</t>
  </si>
  <si>
    <t>พิมพ์พัฒน์</t>
  </si>
  <si>
    <t>551632022007-2</t>
  </si>
  <si>
    <t>แห่สันเทียะ</t>
  </si>
  <si>
    <t>541532022019-2</t>
  </si>
  <si>
    <t>บุญญานุสิทธิ์</t>
  </si>
  <si>
    <t>551825012012-4</t>
  </si>
  <si>
    <t>ฝอยสำโรง</t>
  </si>
  <si>
    <t>1704</t>
  </si>
  <si>
    <t>551522012028-3</t>
  </si>
  <si>
    <t>ทวีพุดซา</t>
  </si>
  <si>
    <t>551522012027-5</t>
  </si>
  <si>
    <t>551522012030-9</t>
  </si>
  <si>
    <t>ม่วงงาม</t>
  </si>
  <si>
    <t>551531023013-3</t>
  </si>
  <si>
    <t>ละคร</t>
  </si>
  <si>
    <t>1705</t>
  </si>
  <si>
    <t>551531023012-5</t>
  </si>
  <si>
    <t>โกนจา</t>
  </si>
  <si>
    <t>551521033023-1</t>
  </si>
  <si>
    <t>551531023006-7</t>
  </si>
  <si>
    <t>พันโภคา</t>
  </si>
  <si>
    <t>551521011222-5</t>
  </si>
  <si>
    <t>โม้มกลาง</t>
  </si>
  <si>
    <t>1706</t>
  </si>
  <si>
    <t>521821012012-0</t>
  </si>
  <si>
    <t>สมนาม</t>
  </si>
  <si>
    <t>551522011020-1</t>
  </si>
  <si>
    <t>วงศรี</t>
  </si>
  <si>
    <t>551531011225-7</t>
  </si>
  <si>
    <t>คุ้มจันอัด</t>
  </si>
  <si>
    <t>541623012023-3</t>
  </si>
  <si>
    <t>บัณฑิตย์</t>
  </si>
  <si>
    <t>1707</t>
  </si>
  <si>
    <t>551625072031-5</t>
  </si>
  <si>
    <t>พยัคฆา</t>
  </si>
  <si>
    <t>551625022010-0</t>
  </si>
  <si>
    <t>ผลดี</t>
  </si>
  <si>
    <t>551632022018-9</t>
  </si>
  <si>
    <t>ผลพิมาย</t>
  </si>
  <si>
    <t>551733023011-9</t>
  </si>
  <si>
    <t>สุดเฉลียว</t>
  </si>
  <si>
    <t>1708</t>
  </si>
  <si>
    <t>551733022027-6</t>
  </si>
  <si>
    <t>ชวประพันธ์</t>
  </si>
  <si>
    <t>551733022019-3</t>
  </si>
  <si>
    <t>แสงใสรัตน์</t>
  </si>
  <si>
    <t>551826012013-0</t>
  </si>
  <si>
    <t>คุณไชยวงษ์</t>
  </si>
  <si>
    <t>1709</t>
  </si>
  <si>
    <t>551826012002-3</t>
  </si>
  <si>
    <t>สถิตชัย</t>
  </si>
  <si>
    <t>551826012003-1</t>
  </si>
  <si>
    <t>อนุวรรณ์</t>
  </si>
  <si>
    <t>551826012001-5</t>
  </si>
  <si>
    <t>พงษ์ศิริจันทร์</t>
  </si>
  <si>
    <t>541521033042-4</t>
  </si>
  <si>
    <t>ประมวลคิด</t>
  </si>
  <si>
    <t>1710</t>
  </si>
  <si>
    <t>541521033061-4</t>
  </si>
  <si>
    <t>แปกลาง</t>
  </si>
  <si>
    <t>551521033021-5</t>
  </si>
  <si>
    <t>ดิเรกศรี</t>
  </si>
  <si>
    <t>541521033073-9</t>
  </si>
  <si>
    <t>พึ่งสันเทียะ</t>
  </si>
  <si>
    <t>551532032078-3</t>
  </si>
  <si>
    <t>ภูเกาะ</t>
  </si>
  <si>
    <t>1711</t>
  </si>
  <si>
    <t>551625022011-8</t>
  </si>
  <si>
    <t>หาญสงคราม</t>
  </si>
  <si>
    <t>551625022018-3</t>
  </si>
  <si>
    <t>เซียงนอก</t>
  </si>
  <si>
    <t>551625022012-6</t>
  </si>
  <si>
    <t>นามโคตร</t>
  </si>
  <si>
    <t>551732012020-5</t>
  </si>
  <si>
    <t>สัตยาวงศ์</t>
  </si>
  <si>
    <t>1712</t>
  </si>
  <si>
    <t>551732012022-1</t>
  </si>
  <si>
    <t>อังกระโทก</t>
  </si>
  <si>
    <t>551734043013-9</t>
  </si>
  <si>
    <t>เห็นสำเร็จ</t>
  </si>
  <si>
    <t>551734011018-6</t>
  </si>
  <si>
    <t>พิมพ์แมน</t>
  </si>
  <si>
    <t>541733022013-9</t>
  </si>
  <si>
    <t>แหว่กระโทก</t>
  </si>
  <si>
    <t>1713</t>
  </si>
  <si>
    <t>541733022025-3</t>
  </si>
  <si>
    <t>ฮวดโพธิ์พันธ์</t>
  </si>
  <si>
    <t>551521011235-7</t>
  </si>
  <si>
    <t>โมหมื่นไวย</t>
  </si>
  <si>
    <t>551762012030-1</t>
  </si>
  <si>
    <t>1714</t>
  </si>
  <si>
    <t>551824042033-7</t>
  </si>
  <si>
    <t>แก้วดี</t>
  </si>
  <si>
    <t>551824042036-0</t>
  </si>
  <si>
    <t>การุญญเวทย์</t>
  </si>
  <si>
    <t>551825012009-0</t>
  </si>
  <si>
    <t>อุทัยพัฒนพงษ์</t>
  </si>
  <si>
    <t>551625072014-1</t>
  </si>
  <si>
    <t>แท่นประยุทธ</t>
  </si>
  <si>
    <t>1715</t>
  </si>
  <si>
    <t>551521033050-4</t>
  </si>
  <si>
    <t>ทิพวรรณ</t>
  </si>
  <si>
    <t>551531023004-2</t>
  </si>
  <si>
    <t>แก้วกองนอก</t>
  </si>
  <si>
    <t>541625072030-0</t>
  </si>
  <si>
    <t>อุ่นเจริญ</t>
  </si>
  <si>
    <t>551521033008-2</t>
  </si>
  <si>
    <t>แก้วแจ่มจันทร์</t>
  </si>
  <si>
    <t>1716</t>
  </si>
  <si>
    <t>541521011027-1</t>
  </si>
  <si>
    <t>มวมขุนทด</t>
  </si>
  <si>
    <t>551521033407-6</t>
  </si>
  <si>
    <t>นันทะโคตร</t>
  </si>
  <si>
    <t>551522011006-0</t>
  </si>
  <si>
    <t>หมุนดอน</t>
  </si>
  <si>
    <t>531523022001-1</t>
  </si>
  <si>
    <t>ประภาสโนบล</t>
  </si>
  <si>
    <t>1717</t>
  </si>
  <si>
    <t>531531022021-2</t>
  </si>
  <si>
    <t>ประดับหิน</t>
  </si>
  <si>
    <t>541522012005-4</t>
  </si>
  <si>
    <t>นีสันเทียะ</t>
  </si>
  <si>
    <t>551521011074-0</t>
  </si>
  <si>
    <t>พร้อมจะบก</t>
  </si>
  <si>
    <t>551826012029-6</t>
  </si>
  <si>
    <t>บรรลุสุข</t>
  </si>
  <si>
    <t>1718</t>
  </si>
  <si>
    <t>541531011003-1</t>
  </si>
  <si>
    <t>สร้อยสุวรรณ</t>
  </si>
  <si>
    <t>541531011026-2</t>
  </si>
  <si>
    <t>ขาวฉลาด</t>
  </si>
  <si>
    <t>541531011006-4</t>
  </si>
  <si>
    <t>สาเถื่อน</t>
  </si>
  <si>
    <t>551625022028-2</t>
  </si>
  <si>
    <t>มะโนดี</t>
  </si>
  <si>
    <t>1719</t>
  </si>
  <si>
    <t>551625022026-6</t>
  </si>
  <si>
    <t>สมหมาย</t>
  </si>
  <si>
    <t>551625022014-2</t>
  </si>
  <si>
    <t>เด็นโคกสูง</t>
  </si>
  <si>
    <t>551625022001-9</t>
  </si>
  <si>
    <t>ชันขุนทด</t>
  </si>
  <si>
    <t>541531011017-1</t>
  </si>
  <si>
    <t>ต้นด้วง</t>
  </si>
  <si>
    <t>1720</t>
  </si>
  <si>
    <t>551531022014-2</t>
  </si>
  <si>
    <t>คุ้มรักษ์</t>
  </si>
  <si>
    <t>551522011211-6</t>
  </si>
  <si>
    <t>ระดาบุตร</t>
  </si>
  <si>
    <t>541531011004-9</t>
  </si>
  <si>
    <t>แถวไธสง</t>
  </si>
  <si>
    <t>521622012014-8</t>
  </si>
  <si>
    <t>ภู่พงษ์</t>
  </si>
  <si>
    <t>1721</t>
  </si>
  <si>
    <t>551522011017-7</t>
  </si>
  <si>
    <t>เปรื่องการ</t>
  </si>
  <si>
    <t>551521033085-0</t>
  </si>
  <si>
    <t>บุญเฮ้า</t>
  </si>
  <si>
    <t>551521033016-5</t>
  </si>
  <si>
    <t>พาจันดี</t>
  </si>
  <si>
    <t>551826012017-1</t>
  </si>
  <si>
    <t>เลิศมะลิวัลย์</t>
  </si>
  <si>
    <t>1722</t>
  </si>
  <si>
    <t>551825012018-1</t>
  </si>
  <si>
    <t>ปึงสูงเนิน</t>
  </si>
  <si>
    <t>551826012012-2</t>
  </si>
  <si>
    <t>เกรียมมะเริง</t>
  </si>
  <si>
    <t>551824042004-8</t>
  </si>
  <si>
    <t>นางสันเทียะ</t>
  </si>
  <si>
    <t>541521033041-6</t>
  </si>
  <si>
    <t>เตรียมเชิดติวงศ์</t>
  </si>
  <si>
    <t>1723</t>
  </si>
  <si>
    <t>541521033004-4</t>
  </si>
  <si>
    <t>ฉอ้อนศรี</t>
  </si>
  <si>
    <t>551521033015-7</t>
  </si>
  <si>
    <t>ดวงเนตร</t>
  </si>
  <si>
    <t>551521033040-5</t>
  </si>
  <si>
    <t>สารสิทธิ์</t>
  </si>
  <si>
    <t>551521011069-0</t>
  </si>
  <si>
    <t>พลอยขาว</t>
  </si>
  <si>
    <t>1724</t>
  </si>
  <si>
    <t>551521011072-4</t>
  </si>
  <si>
    <t>วงษ์ประไพ</t>
  </si>
  <si>
    <t>551522011203-3</t>
  </si>
  <si>
    <t>ศรีเศรษฐา</t>
  </si>
  <si>
    <t>551532022039-7</t>
  </si>
  <si>
    <t>วังอนุสรณ์สกุล</t>
  </si>
  <si>
    <t>1725</t>
  </si>
  <si>
    <t>531751042010-5</t>
  </si>
  <si>
    <t>เทียมสงวน</t>
  </si>
  <si>
    <t>541532032022-4</t>
  </si>
  <si>
    <t>ทับจันทร์</t>
  </si>
  <si>
    <t>541825012014-3</t>
  </si>
  <si>
    <t>ช่างนิ่มนวล</t>
  </si>
  <si>
    <t>551532022050-4</t>
  </si>
  <si>
    <t>โกสละกิจ</t>
  </si>
  <si>
    <t>1726</t>
  </si>
  <si>
    <t>531531022018-8</t>
  </si>
  <si>
    <t>แป้นสำโรง</t>
  </si>
  <si>
    <t>551531023005-9</t>
  </si>
  <si>
    <t>งามสะพรั่ง</t>
  </si>
  <si>
    <t>551531023421-8</t>
  </si>
  <si>
    <t>ภักดีพงษ์</t>
  </si>
  <si>
    <t>551522013002-7</t>
  </si>
  <si>
    <t>ส้มแก้ว</t>
  </si>
  <si>
    <t>1727</t>
  </si>
  <si>
    <t>551522011003-7</t>
  </si>
  <si>
    <t>เนียมพลกรัง</t>
  </si>
  <si>
    <t>551521033011-6</t>
  </si>
  <si>
    <t>ถึงแสง</t>
  </si>
  <si>
    <t>551521022052-3</t>
  </si>
  <si>
    <t>สุวรรณ</t>
  </si>
  <si>
    <t>551825012014-0</t>
  </si>
  <si>
    <t>ศรีทรงงาม</t>
  </si>
  <si>
    <t>1728</t>
  </si>
  <si>
    <t>551825012008-2</t>
  </si>
  <si>
    <t>แป้นศรี</t>
  </si>
  <si>
    <t>551824042022-0</t>
  </si>
  <si>
    <t>สาโรจน์</t>
  </si>
  <si>
    <t>551824042031-1</t>
  </si>
  <si>
    <t>เชื่อมหนองปลิง</t>
  </si>
  <si>
    <t>541523022002-7</t>
  </si>
  <si>
    <t>เล็กสุวงษ์</t>
  </si>
  <si>
    <t>1729</t>
  </si>
  <si>
    <t>551625022005-0</t>
  </si>
  <si>
    <t>ดวงมุลลี</t>
  </si>
  <si>
    <t>551625022006-8</t>
  </si>
  <si>
    <t>ปิ่นสุวรรณ</t>
  </si>
  <si>
    <t>551532032039-5</t>
  </si>
  <si>
    <t>551732013023-8</t>
  </si>
  <si>
    <t>ดีแก่</t>
  </si>
  <si>
    <t>1730</t>
  </si>
  <si>
    <t>551732013020-4</t>
  </si>
  <si>
    <t>ขืนเขียว</t>
  </si>
  <si>
    <t>551732013031-1</t>
  </si>
  <si>
    <t>ฤทธิ์มนตรี</t>
  </si>
  <si>
    <t>551734032029-8</t>
  </si>
  <si>
    <t>551521022067-1</t>
  </si>
  <si>
    <t>สีดาน้อย</t>
  </si>
  <si>
    <t>1731</t>
  </si>
  <si>
    <t>551523011218-9</t>
  </si>
  <si>
    <t>แก่นแสนดี</t>
  </si>
  <si>
    <t>551531022015-9</t>
  </si>
  <si>
    <t>ธนสารชัย</t>
  </si>
  <si>
    <t>551531022003-5</t>
  </si>
  <si>
    <t>กฤษหมื่นไวย</t>
  </si>
  <si>
    <t>551625072001-8</t>
  </si>
  <si>
    <t>ศรีจันทึก</t>
  </si>
  <si>
    <t>1732</t>
  </si>
  <si>
    <t>551625072023-2</t>
  </si>
  <si>
    <t>หลอมประโคน</t>
  </si>
  <si>
    <t>551625072041-4</t>
  </si>
  <si>
    <t>521521012009-2</t>
  </si>
  <si>
    <t>พิพัฒน์</t>
  </si>
  <si>
    <t>551532032024-7</t>
  </si>
  <si>
    <t>ฉิมมา</t>
  </si>
  <si>
    <t>1733</t>
  </si>
  <si>
    <t>551532032014-8</t>
  </si>
  <si>
    <t>เหล็กพิมาย</t>
  </si>
  <si>
    <t>551532032017-1</t>
  </si>
  <si>
    <t>เชยสูงเนิน</t>
  </si>
  <si>
    <t>551532032010-6</t>
  </si>
  <si>
    <t>แช่มชื่น</t>
  </si>
  <si>
    <t>551521022078-8</t>
  </si>
  <si>
    <t>นาสมยนต์</t>
  </si>
  <si>
    <t>1734</t>
  </si>
  <si>
    <t>551532032037-9</t>
  </si>
  <si>
    <t>วงษ์จันทร์</t>
  </si>
  <si>
    <t>551532032012-2</t>
  </si>
  <si>
    <t>เก่งนอก</t>
  </si>
  <si>
    <t>551532032030-4</t>
  </si>
  <si>
    <t>ชาวเสมา</t>
  </si>
  <si>
    <t>551622012011-7</t>
  </si>
  <si>
    <t>สุขกระโทก</t>
  </si>
  <si>
    <t>1735</t>
  </si>
  <si>
    <t>551622012020-8</t>
  </si>
  <si>
    <t>ลวดกระโทก</t>
  </si>
  <si>
    <t>551622012023-2</t>
  </si>
  <si>
    <t>แผ่นกระโทก</t>
  </si>
  <si>
    <t>551622012008-3</t>
  </si>
  <si>
    <t>จันทร์สูงเนิน</t>
  </si>
  <si>
    <t>551825012031-4</t>
  </si>
  <si>
    <t>กำเนิดเมือง</t>
  </si>
  <si>
    <t>1801</t>
  </si>
  <si>
    <t>551824042014-7</t>
  </si>
  <si>
    <t>แก้ววงศ์ใหญ่</t>
  </si>
  <si>
    <t>551743012024-4</t>
  </si>
  <si>
    <t>551825012022-3</t>
  </si>
  <si>
    <t>ปิติจะ</t>
  </si>
  <si>
    <t>551764012013-3</t>
  </si>
  <si>
    <t>เกษมจิต</t>
  </si>
  <si>
    <t>1802</t>
  </si>
  <si>
    <t>541521022066-6</t>
  </si>
  <si>
    <t>นาควิเชียร</t>
  </si>
  <si>
    <t>551761022020-2</t>
  </si>
  <si>
    <t>วรคำ</t>
  </si>
  <si>
    <t>551521022013-5</t>
  </si>
  <si>
    <t>พุ่มมาลา</t>
  </si>
  <si>
    <t>551531011232-3</t>
  </si>
  <si>
    <t>หมื่นบุญมี</t>
  </si>
  <si>
    <t>1803</t>
  </si>
  <si>
    <t>551532022041-3</t>
  </si>
  <si>
    <t>สนิทชัย</t>
  </si>
  <si>
    <t>551532022053-8</t>
  </si>
  <si>
    <t>วากระโทก</t>
  </si>
  <si>
    <t>551532032054-4</t>
  </si>
  <si>
    <t>สกุลสอน</t>
  </si>
  <si>
    <t>551824042019-6</t>
  </si>
  <si>
    <t>บุญแสน</t>
  </si>
  <si>
    <t>1804</t>
  </si>
  <si>
    <t>551826012030-4</t>
  </si>
  <si>
    <t>ลาลำโกน</t>
  </si>
  <si>
    <t>551523022017-2</t>
  </si>
  <si>
    <t>เพียรทำดี</t>
  </si>
  <si>
    <t>1805</t>
  </si>
  <si>
    <t>551523022031-3</t>
  </si>
  <si>
    <t>กล้าสันเทียะ</t>
  </si>
  <si>
    <t>551532022040-5</t>
  </si>
  <si>
    <t>เนื้อนา</t>
  </si>
  <si>
    <t>551521022002-8</t>
  </si>
  <si>
    <t>ศรฤทธี</t>
  </si>
  <si>
    <t>541622012017-7</t>
  </si>
  <si>
    <t>ปนสันเทียะ</t>
  </si>
  <si>
    <t>1806</t>
  </si>
  <si>
    <t>551632022027-0</t>
  </si>
  <si>
    <t>จงกลาง</t>
  </si>
  <si>
    <t>551632022022-1</t>
  </si>
  <si>
    <t>อัครนาวิน</t>
  </si>
  <si>
    <t>551632022012-2</t>
  </si>
  <si>
    <t>สานันท์</t>
  </si>
  <si>
    <t>551521011038-5</t>
  </si>
  <si>
    <t>เกตุกลาง</t>
  </si>
  <si>
    <t>1807</t>
  </si>
  <si>
    <t>551521011024-5</t>
  </si>
  <si>
    <t>สุโข</t>
  </si>
  <si>
    <t>551521011036-9</t>
  </si>
  <si>
    <t>แซ่เลี้ยว</t>
  </si>
  <si>
    <t>551521011204-3</t>
  </si>
  <si>
    <t>โป่ยขุนทด</t>
  </si>
  <si>
    <t>551632022028-8</t>
  </si>
  <si>
    <t>เบ็ญชูสิทธิ์</t>
  </si>
  <si>
    <t>1808</t>
  </si>
  <si>
    <t>551632022005-6</t>
  </si>
  <si>
    <t>บุญสิน</t>
  </si>
  <si>
    <t>541741022003-3</t>
  </si>
  <si>
    <t>นพวงศ์ ณ อยุธยา</t>
  </si>
  <si>
    <t>551632022036-1</t>
  </si>
  <si>
    <t>เหล่าเรือนคำวัฒนา</t>
  </si>
  <si>
    <t>551751042027-4</t>
  </si>
  <si>
    <t>แสงศรี</t>
  </si>
  <si>
    <t>1809</t>
  </si>
  <si>
    <t>551732012027-0</t>
  </si>
  <si>
    <t>อู่เสือพะเนา</t>
  </si>
  <si>
    <t>551732012019-7</t>
  </si>
  <si>
    <t>เขียนโคกกรวด</t>
  </si>
  <si>
    <t>551732012028-8</t>
  </si>
  <si>
    <t>มุ่งพูนกลาง</t>
  </si>
  <si>
    <t>551521011092-2</t>
  </si>
  <si>
    <t>ศรีมะเริง</t>
  </si>
  <si>
    <t>1810</t>
  </si>
  <si>
    <t>551521011075-7</t>
  </si>
  <si>
    <t>มีใหม่</t>
  </si>
  <si>
    <t>551521011028-6</t>
  </si>
  <si>
    <t>แย้มประโคน</t>
  </si>
  <si>
    <t>551521011079-9</t>
  </si>
  <si>
    <t>ตะกรุดแจ่ม</t>
  </si>
  <si>
    <t>551623012002-4</t>
  </si>
  <si>
    <t>สารกุล</t>
  </si>
  <si>
    <t>1811</t>
  </si>
  <si>
    <t>551625072027-3</t>
  </si>
  <si>
    <t>นางสาวอาทิตยา</t>
  </si>
  <si>
    <t>ศิริโชติ</t>
  </si>
  <si>
    <t>551625072018-2</t>
  </si>
  <si>
    <t>โคตะนาถ</t>
  </si>
  <si>
    <t>551622012025-7</t>
  </si>
  <si>
    <t>ศักดา</t>
  </si>
  <si>
    <t>551521011065-8</t>
  </si>
  <si>
    <t>พงษ์ด้วง</t>
  </si>
  <si>
    <t>1812</t>
  </si>
  <si>
    <t>551521011006-2</t>
  </si>
  <si>
    <t>พัฒนาสันต์</t>
  </si>
  <si>
    <t>551521011202-7</t>
  </si>
  <si>
    <t>พารา</t>
  </si>
  <si>
    <t>551531022009-2</t>
  </si>
  <si>
    <t>สุ่มมาตย์</t>
  </si>
  <si>
    <t>1813</t>
  </si>
  <si>
    <t>551531022029-0</t>
  </si>
  <si>
    <t>ไชยวุฒิ</t>
  </si>
  <si>
    <t>551532022030-6</t>
  </si>
  <si>
    <t>ศรีขาว</t>
  </si>
  <si>
    <t>551531022005-0</t>
  </si>
  <si>
    <t>สร้อยจักร</t>
  </si>
  <si>
    <t>551531011031-9</t>
  </si>
  <si>
    <t>ศรีสาคำ</t>
  </si>
  <si>
    <t>1814</t>
  </si>
  <si>
    <t>551625072035-6</t>
  </si>
  <si>
    <t>เทียมประภาสิทธิ์</t>
  </si>
  <si>
    <t>551531011207-5</t>
  </si>
  <si>
    <t>หวายสันเทียะ</t>
  </si>
  <si>
    <t>541521022094-8</t>
  </si>
  <si>
    <t>วิจันทึก</t>
  </si>
  <si>
    <t>541521011035-4</t>
  </si>
  <si>
    <t>กรมจรรยา</t>
  </si>
  <si>
    <t>1815</t>
  </si>
  <si>
    <t>551521011055-9</t>
  </si>
  <si>
    <t>ดวงลูกแก้ว</t>
  </si>
  <si>
    <t>551521011030-2</t>
  </si>
  <si>
    <t>แคล้วทัย</t>
  </si>
  <si>
    <t>551521033065-2</t>
  </si>
  <si>
    <t>วารินทร์</t>
  </si>
  <si>
    <t>1816</t>
  </si>
  <si>
    <t>551531011015-2</t>
  </si>
  <si>
    <t>เพ็ชรนิล</t>
  </si>
  <si>
    <t>551531011010-3</t>
  </si>
  <si>
    <t>สุขทอง</t>
  </si>
  <si>
    <t>551532022036-3</t>
  </si>
  <si>
    <t>เสริมทรัพย์</t>
  </si>
  <si>
    <t>1817</t>
  </si>
  <si>
    <t>551531023003-4</t>
  </si>
  <si>
    <t>ฤทธิโยธี</t>
  </si>
  <si>
    <t>551531023027-3</t>
  </si>
  <si>
    <t>ศิลปานนท์</t>
  </si>
  <si>
    <t>551531023031-5</t>
  </si>
  <si>
    <t>สวยรูป</t>
  </si>
  <si>
    <t>551522011021-9</t>
  </si>
  <si>
    <t>ชื่นบาน</t>
  </si>
  <si>
    <t>1818</t>
  </si>
  <si>
    <t>551522011215-7</t>
  </si>
  <si>
    <t>กลอนโคกกรวด</t>
  </si>
  <si>
    <t>551522011013-6</t>
  </si>
  <si>
    <t>พันธุรัตน์</t>
  </si>
  <si>
    <t>551522011009-4</t>
  </si>
  <si>
    <t>กิ่งโพธิ์</t>
  </si>
  <si>
    <t>551532032015-5</t>
  </si>
  <si>
    <t>เข็มทอง</t>
  </si>
  <si>
    <t>1819</t>
  </si>
  <si>
    <t>551532032028-8</t>
  </si>
  <si>
    <t>ถาดจังหรีด</t>
  </si>
  <si>
    <t>551532032057-7</t>
  </si>
  <si>
    <t>จันทร์ดี</t>
  </si>
  <si>
    <t>551532032035-3</t>
  </si>
  <si>
    <t>บุญคำ</t>
  </si>
  <si>
    <t>551521022051-5</t>
  </si>
  <si>
    <t>วิจิตรเจริญ</t>
  </si>
  <si>
    <t>1820</t>
  </si>
  <si>
    <t>551532032007-2</t>
  </si>
  <si>
    <t>กล่ำกลิ่น</t>
  </si>
  <si>
    <t>551532032001-5</t>
  </si>
  <si>
    <t>โดดสูงเนิน</t>
  </si>
  <si>
    <t>551532022002-5</t>
  </si>
  <si>
    <t>551522011018-5</t>
  </si>
  <si>
    <t>อินทร์พรมมดัน</t>
  </si>
  <si>
    <t>1821</t>
  </si>
  <si>
    <t>551522011014-4</t>
  </si>
  <si>
    <t>คำโสภา</t>
  </si>
  <si>
    <t>521522012009-0</t>
  </si>
  <si>
    <t>นิราชสูงเนิน</t>
  </si>
  <si>
    <t>551522011011-0</t>
  </si>
  <si>
    <t>หงษ์อินทร์</t>
  </si>
  <si>
    <t>551764012024-0</t>
  </si>
  <si>
    <t>มุ่งดี</t>
  </si>
  <si>
    <t>1822</t>
  </si>
  <si>
    <t>551731022022-1</t>
  </si>
  <si>
    <t>ยิ้มมา</t>
  </si>
  <si>
    <t>551731022027-0</t>
  </si>
  <si>
    <t>พุ่มสิงห์โต</t>
  </si>
  <si>
    <t>551522012036-6</t>
  </si>
  <si>
    <t>เชียรโคกกรวด</t>
  </si>
  <si>
    <t>1823</t>
  </si>
  <si>
    <t>551522012011-9</t>
  </si>
  <si>
    <t>ดิษฐ์สูงเนิน</t>
  </si>
  <si>
    <t>551523011013-4</t>
  </si>
  <si>
    <t>กองแสน</t>
  </si>
  <si>
    <t>551521011070-8</t>
  </si>
  <si>
    <t>ขอสูงเนิน</t>
  </si>
  <si>
    <t>551521022036-6</t>
  </si>
  <si>
    <t>โรจน์รัชนีกร</t>
  </si>
  <si>
    <t>1824</t>
  </si>
  <si>
    <t>551521022038-2</t>
  </si>
  <si>
    <t>สังขารีย์</t>
  </si>
  <si>
    <t>551751042032-4</t>
  </si>
  <si>
    <t>ปรุสูงเนิน</t>
  </si>
  <si>
    <t>551521022047-3</t>
  </si>
  <si>
    <t>กันทากาศ</t>
  </si>
  <si>
    <t>551521022069-7</t>
  </si>
  <si>
    <t>บรรจงปรุ</t>
  </si>
  <si>
    <t>1825</t>
  </si>
  <si>
    <t>551522011216-5</t>
  </si>
  <si>
    <t>แก้วสวรรค์</t>
  </si>
  <si>
    <t>551521022068-9</t>
  </si>
  <si>
    <t>ช่วยประสิทธิ์</t>
  </si>
  <si>
    <t>541733023032-8</t>
  </si>
  <si>
    <t>ฉาสันเทียะ</t>
  </si>
  <si>
    <t>551521022077-0</t>
  </si>
  <si>
    <t>อินสำราญ</t>
  </si>
  <si>
    <t>1826</t>
  </si>
  <si>
    <t>551532022019-9</t>
  </si>
  <si>
    <t>ปลั่งกลาง</t>
  </si>
  <si>
    <t>541522012043-5</t>
  </si>
  <si>
    <t>ศรีเมฆ</t>
  </si>
  <si>
    <t>541523022045-6</t>
  </si>
  <si>
    <t>กนกชัชวาล</t>
  </si>
  <si>
    <t>551523022029-7</t>
  </si>
  <si>
    <t>1827</t>
  </si>
  <si>
    <t>551522012022-6</t>
  </si>
  <si>
    <t>พงษ์เกาะ</t>
  </si>
  <si>
    <t>551521022015-0</t>
  </si>
  <si>
    <t>นาหนอง</t>
  </si>
  <si>
    <t>551521011022-9</t>
  </si>
  <si>
    <t>มานอก</t>
  </si>
  <si>
    <t>1828</t>
  </si>
  <si>
    <t>551522011026-8</t>
  </si>
  <si>
    <t>คงเจริญถิ่น</t>
  </si>
  <si>
    <t>551522011202-5</t>
  </si>
  <si>
    <t>แสงรักษ์</t>
  </si>
  <si>
    <t>551522011213-2</t>
  </si>
  <si>
    <t>อุปราช</t>
  </si>
  <si>
    <t>551521022034-1</t>
  </si>
  <si>
    <t>เลิศจิรโรจน์</t>
  </si>
  <si>
    <t>1829</t>
  </si>
  <si>
    <t>551521022059-8</t>
  </si>
  <si>
    <t>แย้มครวญ</t>
  </si>
  <si>
    <t>551532022023-1</t>
  </si>
  <si>
    <t>เผินสูงเนิน</t>
  </si>
  <si>
    <t>551521022040-8</t>
  </si>
  <si>
    <t>อินทร์พรม</t>
  </si>
  <si>
    <t>551826012024-7</t>
  </si>
  <si>
    <t>ดำกลาง</t>
  </si>
  <si>
    <t>1830</t>
  </si>
  <si>
    <t>551521011209-2</t>
  </si>
  <si>
    <t>รัตนสูรย์</t>
  </si>
  <si>
    <t>551521033080-1</t>
  </si>
  <si>
    <t>ผ่องใส</t>
  </si>
  <si>
    <t>551762012023-6</t>
  </si>
  <si>
    <t>นาคนทรง</t>
  </si>
  <si>
    <t>1831</t>
  </si>
  <si>
    <t>551522012038-2</t>
  </si>
  <si>
    <t>ประจง</t>
  </si>
  <si>
    <t>551761022028-5</t>
  </si>
  <si>
    <t>เจริญศิริมณี</t>
  </si>
  <si>
    <t>551532032031-2</t>
  </si>
  <si>
    <t>แว่นมงคล</t>
  </si>
  <si>
    <t>1832</t>
  </si>
  <si>
    <t>551522012034-1</t>
  </si>
  <si>
    <t>ยาจิตร</t>
  </si>
  <si>
    <t>551523022041-2</t>
  </si>
  <si>
    <t>เพ็ชรช่องประดู่</t>
  </si>
  <si>
    <t>551523022011-5</t>
  </si>
  <si>
    <t>สวัสดิ์</t>
  </si>
  <si>
    <t>551523011214-8</t>
  </si>
  <si>
    <t>เจียมมะเริง</t>
  </si>
  <si>
    <t>1833</t>
  </si>
  <si>
    <t>551523011217-1</t>
  </si>
  <si>
    <t>แฟงกลาง</t>
  </si>
  <si>
    <t>551521011237-3</t>
  </si>
  <si>
    <t>เหงกระโทก</t>
  </si>
  <si>
    <t>551521011236-5</t>
  </si>
  <si>
    <t>เอี่ยมรัมย์</t>
  </si>
  <si>
    <t>551623012009-9</t>
  </si>
  <si>
    <t>ถีเจริญ</t>
  </si>
  <si>
    <t>1834</t>
  </si>
  <si>
    <t>551531023041-4</t>
  </si>
  <si>
    <t>ลินไธสง</t>
  </si>
  <si>
    <t>551625022033-2</t>
  </si>
  <si>
    <t>ย่อมกระโทก</t>
  </si>
  <si>
    <t>551523022009-9</t>
  </si>
  <si>
    <t>วิจารณ์</t>
  </si>
  <si>
    <t>551532032029-6</t>
  </si>
  <si>
    <t>แดงสกุล</t>
  </si>
  <si>
    <t>1835</t>
  </si>
  <si>
    <t>551743012020-2</t>
  </si>
  <si>
    <t>วิริยะ</t>
  </si>
  <si>
    <t>551751042004-3</t>
  </si>
  <si>
    <t>พูนโตนด</t>
  </si>
  <si>
    <t>551743012014-5</t>
  </si>
  <si>
    <t>ดุษดี</t>
  </si>
  <si>
    <t>551761022027-7</t>
  </si>
  <si>
    <t>ทองพีระ</t>
  </si>
  <si>
    <t>1836</t>
  </si>
  <si>
    <t>551532032066-8</t>
  </si>
  <si>
    <t>เกียรติกลาง</t>
  </si>
  <si>
    <t>551622012027-3</t>
  </si>
  <si>
    <t>สายใจ</t>
  </si>
  <si>
    <t>551521022082-0</t>
  </si>
  <si>
    <t>ชานันโท</t>
  </si>
  <si>
    <t>551746012011-4</t>
  </si>
  <si>
    <t>นายกฤษณะ</t>
  </si>
  <si>
    <t>เขื่อนขันท์</t>
  </si>
  <si>
    <t>2202</t>
  </si>
  <si>
    <t>551734011004-6</t>
  </si>
  <si>
    <t>นายภูเก็ต</t>
  </si>
  <si>
    <t>บุนนาค</t>
  </si>
  <si>
    <t>551734011024-4</t>
  </si>
  <si>
    <t>นายธีรภัทร</t>
  </si>
  <si>
    <t>มาตายะศรี</t>
  </si>
  <si>
    <t>551751043013-3</t>
  </si>
  <si>
    <t>นายณัฐพงษ์</t>
  </si>
  <si>
    <t>โพธิศรี</t>
  </si>
  <si>
    <t>551733022014-4</t>
  </si>
  <si>
    <t>นายอภิเดช</t>
  </si>
  <si>
    <t>2203</t>
  </si>
  <si>
    <t>551733022018-5</t>
  </si>
  <si>
    <t>นายยุทธพิชัย</t>
  </si>
  <si>
    <t>สังขรัตน์</t>
  </si>
  <si>
    <t>551733022013-6</t>
  </si>
  <si>
    <t>นายณัฐพงศ์</t>
  </si>
  <si>
    <t>ไพเราะ</t>
  </si>
  <si>
    <t>551733022009-4</t>
  </si>
  <si>
    <t>นายวิสกร</t>
  </si>
  <si>
    <t>เสี่ยงวิฐาน</t>
  </si>
  <si>
    <t>551721011007-6</t>
  </si>
  <si>
    <t>นายกินุกร</t>
  </si>
  <si>
    <t>กลิ่นวิชัย</t>
  </si>
  <si>
    <t>2204</t>
  </si>
  <si>
    <t>551721011032-4</t>
  </si>
  <si>
    <t>นายพันทวี</t>
  </si>
  <si>
    <t>หว่างกลาง</t>
  </si>
  <si>
    <t>551721011033-2</t>
  </si>
  <si>
    <t>นายไชยเชษฐ์</t>
  </si>
  <si>
    <t>พวงพิมาย</t>
  </si>
  <si>
    <t>551721011012-6</t>
  </si>
  <si>
    <t>นายภานุวัฒน์</t>
  </si>
  <si>
    <t>ทนกระโทก</t>
  </si>
  <si>
    <t>551761022003-8</t>
  </si>
  <si>
    <t>นายวัชระ</t>
  </si>
  <si>
    <t>ประเสริฐสังข์</t>
  </si>
  <si>
    <t>2205</t>
  </si>
  <si>
    <t>551762012002-0</t>
  </si>
  <si>
    <t>นายวุฒิศักดิ์</t>
  </si>
  <si>
    <t>ทองมา</t>
  </si>
  <si>
    <t>551761022004-6</t>
  </si>
  <si>
    <t>นายวัชรินทร์</t>
  </si>
  <si>
    <t>ไชยสิงห์</t>
  </si>
  <si>
    <t>551762012009-5</t>
  </si>
  <si>
    <t>นายคชาธร</t>
  </si>
  <si>
    <t>คุณมี</t>
  </si>
  <si>
    <t>551751043023-2</t>
  </si>
  <si>
    <t>นายภักดี</t>
  </si>
  <si>
    <t>2206</t>
  </si>
  <si>
    <t>551751043026-5</t>
  </si>
  <si>
    <t>นายจรัญ</t>
  </si>
  <si>
    <t>น้อยไพล</t>
  </si>
  <si>
    <t>551751043015-8</t>
  </si>
  <si>
    <t>นายธนพล</t>
  </si>
  <si>
    <t>ทองพูล</t>
  </si>
  <si>
    <t>551751043017-4</t>
  </si>
  <si>
    <t>บัวสนิท</t>
  </si>
  <si>
    <t>551742023021-9</t>
  </si>
  <si>
    <t>นายกิตติศักดิ์</t>
  </si>
  <si>
    <t>ทุยยะค่าย</t>
  </si>
  <si>
    <t>2207</t>
  </si>
  <si>
    <t>551742023025-0</t>
  </si>
  <si>
    <t>นายสมชาย</t>
  </si>
  <si>
    <t>ลาดหมื่นไวย์</t>
  </si>
  <si>
    <t>551742023018-5</t>
  </si>
  <si>
    <t>นายสุทธิศักดิ์</t>
  </si>
  <si>
    <t>ตู้สะกาด</t>
  </si>
  <si>
    <t>551745031023-8</t>
  </si>
  <si>
    <t>นายทักษิณ</t>
  </si>
  <si>
    <t>ปานกลาง</t>
  </si>
  <si>
    <t>2208</t>
  </si>
  <si>
    <t>551745031018-8</t>
  </si>
  <si>
    <t>นายจักรพล</t>
  </si>
  <si>
    <t>แฝกกระโทก</t>
  </si>
  <si>
    <t>551531022004-3</t>
  </si>
  <si>
    <t>นายจิรภัทร</t>
  </si>
  <si>
    <t>แซ่จึง</t>
  </si>
  <si>
    <t>2209</t>
  </si>
  <si>
    <t>551532033619-3</t>
  </si>
  <si>
    <t>นายอดิเทพ</t>
  </si>
  <si>
    <t>551522011015-1</t>
  </si>
  <si>
    <t>นายวิษณุ</t>
  </si>
  <si>
    <t>นบนอบ</t>
  </si>
  <si>
    <t>551522011012-8</t>
  </si>
  <si>
    <t>นายสุรชัย</t>
  </si>
  <si>
    <t>ปัญญาพิมพ์</t>
  </si>
  <si>
    <t>551732013002-2</t>
  </si>
  <si>
    <t>นายสุธี</t>
  </si>
  <si>
    <t>สุทธิศักดิ์</t>
  </si>
  <si>
    <t>2210</t>
  </si>
  <si>
    <t>551732013027-9</t>
  </si>
  <si>
    <t>นายอภินันท์</t>
  </si>
  <si>
    <t>หนุนกระโทก</t>
  </si>
  <si>
    <t>551732013022-0</t>
  </si>
  <si>
    <t>นายวิชัย</t>
  </si>
  <si>
    <t>คำใส</t>
  </si>
  <si>
    <t>551732013034-5</t>
  </si>
  <si>
    <t>นายกัมปนาท</t>
  </si>
  <si>
    <t>จูมตะคุ</t>
  </si>
  <si>
    <t>551751031002-0</t>
  </si>
  <si>
    <t>นายธีรพงษ์</t>
  </si>
  <si>
    <t>เพียกขุนทด</t>
  </si>
  <si>
    <t>2211</t>
  </si>
  <si>
    <t>551751031023-6</t>
  </si>
  <si>
    <t>นายขวัญชัย</t>
  </si>
  <si>
    <t>สิมสา</t>
  </si>
  <si>
    <t>551751031001-2</t>
  </si>
  <si>
    <t>นายฐิติชน</t>
  </si>
  <si>
    <t>ชีวะนานนท์</t>
  </si>
  <si>
    <t>551751031006-1</t>
  </si>
  <si>
    <t>นายกรกฎ</t>
  </si>
  <si>
    <t>กาสีสูงเนิน</t>
  </si>
  <si>
    <t>551746012025-4</t>
  </si>
  <si>
    <t>นายอภิศักดิ์</t>
  </si>
  <si>
    <t>มุ่งแฝงกลาง</t>
  </si>
  <si>
    <t>2212</t>
  </si>
  <si>
    <t>551746012008-0</t>
  </si>
  <si>
    <t>นายอลงกรณ์</t>
  </si>
  <si>
    <t>เดชศิริ</t>
  </si>
  <si>
    <t>551746012019-7</t>
  </si>
  <si>
    <t>นายณัฐพล</t>
  </si>
  <si>
    <t>ก้องเจริญพาณิชย์</t>
  </si>
  <si>
    <t>551746012021-3</t>
  </si>
  <si>
    <t>นายศสิกร</t>
  </si>
  <si>
    <t>อินทรพรม</t>
  </si>
  <si>
    <t>551744012006-9</t>
  </si>
  <si>
    <t>นายธนรัตน์</t>
  </si>
  <si>
    <t>ริงคณานนท์</t>
  </si>
  <si>
    <t>2213</t>
  </si>
  <si>
    <t>551744012008-5</t>
  </si>
  <si>
    <t>นายประนต</t>
  </si>
  <si>
    <t>หงษ์คำ</t>
  </si>
  <si>
    <t>551744012028-3</t>
  </si>
  <si>
    <t>นายอารักษ์</t>
  </si>
  <si>
    <t>สุขผล</t>
  </si>
  <si>
    <t>551744012009-3</t>
  </si>
  <si>
    <t>นายนิรันดร์</t>
  </si>
  <si>
    <t>551744012007-7</t>
  </si>
  <si>
    <t>นายสุริยา</t>
  </si>
  <si>
    <t>สนิทสตรี</t>
  </si>
  <si>
    <t>551731022001-5</t>
  </si>
  <si>
    <t>นายอำพล</t>
  </si>
  <si>
    <t>วันมงคล</t>
  </si>
  <si>
    <t>2214</t>
  </si>
  <si>
    <t>551731022010-6</t>
  </si>
  <si>
    <t>นายฐาปกรณ์</t>
  </si>
  <si>
    <t>ภูมิพิทยานนท์</t>
  </si>
  <si>
    <t>541734011009-8</t>
  </si>
  <si>
    <t>นายทศพร</t>
  </si>
  <si>
    <t>551744012024-2</t>
  </si>
  <si>
    <t>นายพุทธพล</t>
  </si>
  <si>
    <t>พิณพิมาย</t>
  </si>
  <si>
    <t>551733022008-6</t>
  </si>
  <si>
    <t>นายจิรายุทธ</t>
  </si>
  <si>
    <t>พันธุ์ศรี</t>
  </si>
  <si>
    <t>2215</t>
  </si>
  <si>
    <t>551733022010-2</t>
  </si>
  <si>
    <t>นายลัทธพล</t>
  </si>
  <si>
    <t>ปนสูงเนิน</t>
  </si>
  <si>
    <t>551733022032-6</t>
  </si>
  <si>
    <t>นายชยพล</t>
  </si>
  <si>
    <t>โพธิ์แก้ว</t>
  </si>
  <si>
    <t>551733022004-5</t>
  </si>
  <si>
    <t>นายกรกต</t>
  </si>
  <si>
    <t>หงษ์ทอง</t>
  </si>
  <si>
    <t>551742011002-3</t>
  </si>
  <si>
    <t>นายวันเฉลิม</t>
  </si>
  <si>
    <t>พลโดด</t>
  </si>
  <si>
    <t>2216</t>
  </si>
  <si>
    <t>551742011008-0</t>
  </si>
  <si>
    <t>นายอาทิตย์</t>
  </si>
  <si>
    <t>551742011003-1</t>
  </si>
  <si>
    <t>นายสุเมธ</t>
  </si>
  <si>
    <t>โหนกขุนทด</t>
  </si>
  <si>
    <t>551742011010-6</t>
  </si>
  <si>
    <t>นายกิตติพงษ์</t>
  </si>
  <si>
    <t>คงเกิด</t>
  </si>
  <si>
    <t>551721011021-7</t>
  </si>
  <si>
    <t>นายสันติภาพ</t>
  </si>
  <si>
    <t>อินทับ</t>
  </si>
  <si>
    <t>2217</t>
  </si>
  <si>
    <t>551733022002-9</t>
  </si>
  <si>
    <t>นายณัฐนนท์</t>
  </si>
  <si>
    <t>ธำรงทรัพย์</t>
  </si>
  <si>
    <t>551764012002-6</t>
  </si>
  <si>
    <t>นายณัฐนันท์</t>
  </si>
  <si>
    <t>551751031025-1</t>
  </si>
  <si>
    <t>นายนราวิชญ์</t>
  </si>
  <si>
    <t>สอาดม่วง</t>
  </si>
  <si>
    <t>551721011034-0</t>
  </si>
  <si>
    <t>นายธนกร</t>
  </si>
  <si>
    <t>2218</t>
  </si>
  <si>
    <t>551721011025-8</t>
  </si>
  <si>
    <t>นายอรรถพล</t>
  </si>
  <si>
    <t>บอนขุนทด</t>
  </si>
  <si>
    <t>551721011003-5</t>
  </si>
  <si>
    <t>นายกฤษฎา</t>
  </si>
  <si>
    <t>ฤทธิ์จอหอ</t>
  </si>
  <si>
    <t>551721011031-6</t>
  </si>
  <si>
    <t>นายสราวุฒิ</t>
  </si>
  <si>
    <t>พิณเขียว</t>
  </si>
  <si>
    <t>551751043010-9</t>
  </si>
  <si>
    <t>นายสมดุล</t>
  </si>
  <si>
    <t>สุโขรัมย์</t>
  </si>
  <si>
    <t>2219</t>
  </si>
  <si>
    <t>551751043002-6</t>
  </si>
  <si>
    <t>นายจิรศักดิ์</t>
  </si>
  <si>
    <t>ยอดเสาร์</t>
  </si>
  <si>
    <t>551751043016-6</t>
  </si>
  <si>
    <t>นายชาญนนท์</t>
  </si>
  <si>
    <t>จันทร์เพ็ญ</t>
  </si>
  <si>
    <t>551745031001-4</t>
  </si>
  <si>
    <t>นายเก่งกาจ</t>
  </si>
  <si>
    <t>มาตโคกสูง</t>
  </si>
  <si>
    <t>2220</t>
  </si>
  <si>
    <t>551745031003-0</t>
  </si>
  <si>
    <t>บุญบวรพงศ์</t>
  </si>
  <si>
    <t>551745031016-2</t>
  </si>
  <si>
    <t>นายจักรพงษ์</t>
  </si>
  <si>
    <t>ค้องรัมย์</t>
  </si>
  <si>
    <t>551745031022-0</t>
  </si>
  <si>
    <t>นายณัฐวัฒน์</t>
  </si>
  <si>
    <t>โพธิ์ระศรี</t>
  </si>
  <si>
    <t>541625022012-9</t>
  </si>
  <si>
    <t>นายสมาธิ</t>
  </si>
  <si>
    <t>เศรษฐศักดิ์อำพล</t>
  </si>
  <si>
    <t>2221</t>
  </si>
  <si>
    <t>551522011008-6</t>
  </si>
  <si>
    <t>นายวีณพล</t>
  </si>
  <si>
    <t>สะใบพิมพ์</t>
  </si>
  <si>
    <t>551522011022-7</t>
  </si>
  <si>
    <t>นายนฤนาท</t>
  </si>
  <si>
    <t>บุญเย็น</t>
  </si>
  <si>
    <t>551521011208-4</t>
  </si>
  <si>
    <t>นายภาณุ</t>
  </si>
  <si>
    <t>สวยขุนทด</t>
  </si>
  <si>
    <t>541625022022-8</t>
  </si>
  <si>
    <t>นายอชิรวิชญ์</t>
  </si>
  <si>
    <t>ชุ่มหมื่นไวย์</t>
  </si>
  <si>
    <t>2222</t>
  </si>
  <si>
    <t>541625022028-5</t>
  </si>
  <si>
    <t>นายกฤตภาส</t>
  </si>
  <si>
    <t>พึ่งนุสนธิ์</t>
  </si>
  <si>
    <t>541625022016-0</t>
  </si>
  <si>
    <t>นายประจักษ์</t>
  </si>
  <si>
    <t>เรืองแสน</t>
  </si>
  <si>
    <t>551521022009-3</t>
  </si>
  <si>
    <t>นายสหพร</t>
  </si>
  <si>
    <t>ศรขรรค์</t>
  </si>
  <si>
    <t>541625022033-5</t>
  </si>
  <si>
    <t>นายธัชชานนท์</t>
  </si>
  <si>
    <t>หนึ่งเจริญ</t>
  </si>
  <si>
    <t>2223</t>
  </si>
  <si>
    <t>541625022026-9</t>
  </si>
  <si>
    <t>นายวุฒิชัย</t>
  </si>
  <si>
    <t>ปทุมรังสรรค์</t>
  </si>
  <si>
    <t>541625022002-0</t>
  </si>
  <si>
    <t>นายอุทัย</t>
  </si>
  <si>
    <t>ไพรินทร์</t>
  </si>
  <si>
    <t>551622012032-3</t>
  </si>
  <si>
    <t>นายสุธนัย</t>
  </si>
  <si>
    <t>ทองแถว</t>
  </si>
  <si>
    <t>541625022027-7</t>
  </si>
  <si>
    <t>นายณภัทร</t>
  </si>
  <si>
    <t>พุ่มพวงเกียรติ</t>
  </si>
  <si>
    <t>2224</t>
  </si>
  <si>
    <t>541625022024-4</t>
  </si>
  <si>
    <t>นายนันทวุฒิ</t>
  </si>
  <si>
    <t>เต็มเกษม</t>
  </si>
  <si>
    <t>541625022004-6</t>
  </si>
  <si>
    <t>นายคุณากร</t>
  </si>
  <si>
    <t>ทับสูงเนิน</t>
  </si>
  <si>
    <t>541625022017-8</t>
  </si>
  <si>
    <t>นายณรงค์ชัย</t>
  </si>
  <si>
    <t>พร้อมเสมอพันธ์</t>
  </si>
  <si>
    <t>551742023010-2</t>
  </si>
  <si>
    <t>นายอัศนัย</t>
  </si>
  <si>
    <t>สีกลาง</t>
  </si>
  <si>
    <t>2225</t>
  </si>
  <si>
    <t>551742023005-2</t>
  </si>
  <si>
    <t>นายวีรยุทธ</t>
  </si>
  <si>
    <t>ประพาลา</t>
  </si>
  <si>
    <t>551742011015-5</t>
  </si>
  <si>
    <t>นายนิติกรณ์</t>
  </si>
  <si>
    <t>พาสันเทียะ</t>
  </si>
  <si>
    <t>551751043005-9</t>
  </si>
  <si>
    <t>นายสิทธิชัย</t>
  </si>
  <si>
    <t>กมลเพชร</t>
  </si>
  <si>
    <t>2226</t>
  </si>
  <si>
    <t>551751043004-2</t>
  </si>
  <si>
    <t>นายพีระภัทร</t>
  </si>
  <si>
    <t>ลาละคร</t>
  </si>
  <si>
    <t>551751043014-1</t>
  </si>
  <si>
    <t>นายบุญญสูติ</t>
  </si>
  <si>
    <t>เจริญพัฒนวณิช</t>
  </si>
  <si>
    <t>551733011010-5</t>
  </si>
  <si>
    <t>นายศักรินทร์</t>
  </si>
  <si>
    <t>ขินสันเทียะ</t>
  </si>
  <si>
    <t>2227</t>
  </si>
  <si>
    <t>551733011006-3</t>
  </si>
  <si>
    <t>นายยศพล</t>
  </si>
  <si>
    <t>โตคีรี</t>
  </si>
  <si>
    <t>551733011030-3</t>
  </si>
  <si>
    <t>นายกอบชัย</t>
  </si>
  <si>
    <t>ประเสริฐทรัพย์</t>
  </si>
  <si>
    <t>551733011005-5</t>
  </si>
  <si>
    <t>จันทร์อ่ำ</t>
  </si>
  <si>
    <t>551733023426-9</t>
  </si>
  <si>
    <t>นายอรรถถกานท์</t>
  </si>
  <si>
    <t>จำปาทอง</t>
  </si>
  <si>
    <t>2228</t>
  </si>
  <si>
    <t>551733023007-7</t>
  </si>
  <si>
    <t>นายชาญณรงค์</t>
  </si>
  <si>
    <t>ด้วงพลู</t>
  </si>
  <si>
    <t>541733022022-0</t>
  </si>
  <si>
    <t>นายพงศ์พิพัฒน์</t>
  </si>
  <si>
    <t>ศุภลักษ์</t>
  </si>
  <si>
    <t>551732013018-8</t>
  </si>
  <si>
    <t>นายอนุชา</t>
  </si>
  <si>
    <t>วรรภา</t>
  </si>
  <si>
    <t>2229</t>
  </si>
  <si>
    <t>551732013006-3</t>
  </si>
  <si>
    <t>นายศักดิ์ชัย</t>
  </si>
  <si>
    <t>ก้อนเทียน</t>
  </si>
  <si>
    <t>551732013003-0</t>
  </si>
  <si>
    <t>นายอำนาจ</t>
  </si>
  <si>
    <t>ชวนขุนทด</t>
  </si>
  <si>
    <t>551732013030-3</t>
  </si>
  <si>
    <t>นายโกสัย</t>
  </si>
  <si>
    <t>กาศรัมย์</t>
  </si>
  <si>
    <t>551741011004-1</t>
  </si>
  <si>
    <t>นายวินัย</t>
  </si>
  <si>
    <t>พุทธบุรี</t>
  </si>
  <si>
    <t>2230</t>
  </si>
  <si>
    <t>551741011006-6</t>
  </si>
  <si>
    <t>นายวสวัตติ์</t>
  </si>
  <si>
    <t>เหลืองวิไล</t>
  </si>
  <si>
    <t>551741011003-3</t>
  </si>
  <si>
    <t>นายสุขสันต์</t>
  </si>
  <si>
    <t>จันทกล</t>
  </si>
  <si>
    <t>551741011008-2</t>
  </si>
  <si>
    <t>นายเดชา</t>
  </si>
  <si>
    <t>มาตคำมี</t>
  </si>
  <si>
    <t>551751031004-6</t>
  </si>
  <si>
    <t>นายธนวัฒน์</t>
  </si>
  <si>
    <t>วีระธรรม</t>
  </si>
  <si>
    <t>2231</t>
  </si>
  <si>
    <t>551751031028-5</t>
  </si>
  <si>
    <t>นายวิชิต</t>
  </si>
  <si>
    <t>เกี้ยวกลาง</t>
  </si>
  <si>
    <t>551751031016-0</t>
  </si>
  <si>
    <t>นายอรรถพร</t>
  </si>
  <si>
    <t>เกตุโคกกรวด</t>
  </si>
  <si>
    <t>551751031010-3</t>
  </si>
  <si>
    <t>พรมเพลง</t>
  </si>
  <si>
    <t>551744012002-8</t>
  </si>
  <si>
    <t>นายสุวินัย</t>
  </si>
  <si>
    <t>งามขุนทด</t>
  </si>
  <si>
    <t>2232</t>
  </si>
  <si>
    <t>551744012014-3</t>
  </si>
  <si>
    <t>นายกฤษณ</t>
  </si>
  <si>
    <t>จอกพุดซา</t>
  </si>
  <si>
    <t>551744012017-6</t>
  </si>
  <si>
    <t>นายอานันท์</t>
  </si>
  <si>
    <t>งาเกาะ</t>
  </si>
  <si>
    <t>551744012019-2</t>
  </si>
  <si>
    <t>นายอนันตพล</t>
  </si>
  <si>
    <t>ถอนโคกสูง</t>
  </si>
  <si>
    <t>551722022030-3</t>
  </si>
  <si>
    <t>นายศักดิ์ดา</t>
  </si>
  <si>
    <t>บุญทัน</t>
  </si>
  <si>
    <t>2233</t>
  </si>
  <si>
    <t>551722022009-7</t>
  </si>
  <si>
    <t>นายณัฐภัทร</t>
  </si>
  <si>
    <t>สาโดด</t>
  </si>
  <si>
    <t>551722022006-3</t>
  </si>
  <si>
    <t>นายธวัชชัย</t>
  </si>
  <si>
    <t>อัทธะวีคูณ</t>
  </si>
  <si>
    <t>551722022022-0</t>
  </si>
  <si>
    <t>นายฉัตรชัย</t>
  </si>
  <si>
    <t>นอนา</t>
  </si>
  <si>
    <t>551746012020-5</t>
  </si>
  <si>
    <t>นายพิทักษ์</t>
  </si>
  <si>
    <t>โพธิ์สูงเนิน</t>
  </si>
  <si>
    <t>2234</t>
  </si>
  <si>
    <t>551745031011-3</t>
  </si>
  <si>
    <t>นายศราวุธ</t>
  </si>
  <si>
    <t>วาปีเท</t>
  </si>
  <si>
    <t>551746012015-5</t>
  </si>
  <si>
    <t>นายวุฒิพงษ์</t>
  </si>
  <si>
    <t>สมโสภาพ</t>
  </si>
  <si>
    <t>551751031030-1</t>
  </si>
  <si>
    <t>นายพงศ์พันธุ์</t>
  </si>
  <si>
    <t>ยอดมงคล</t>
  </si>
  <si>
    <t>551734011014-5</t>
  </si>
  <si>
    <t>นายกฤติน</t>
  </si>
  <si>
    <t>ระยับศรี</t>
  </si>
  <si>
    <t>2235</t>
  </si>
  <si>
    <t>551734011006-1</t>
  </si>
  <si>
    <t>นายทิวากรณ์</t>
  </si>
  <si>
    <t>เสนา</t>
  </si>
  <si>
    <t>551734011005-3</t>
  </si>
  <si>
    <t>นายธนชัย</t>
  </si>
  <si>
    <t>นิพันธ์</t>
  </si>
  <si>
    <t>551734011011-1</t>
  </si>
  <si>
    <t>นายสกลวรรธน์</t>
  </si>
  <si>
    <t>ชมเมือง</t>
  </si>
  <si>
    <t>551751042029-0</t>
  </si>
  <si>
    <t>นายจตุรงค์</t>
  </si>
  <si>
    <t>ขุมเกาะ</t>
  </si>
  <si>
    <t>2236</t>
  </si>
  <si>
    <t>551751042021-7</t>
  </si>
  <si>
    <t>นายกีรติ</t>
  </si>
  <si>
    <t>อึ้งศิริไพศาล</t>
  </si>
  <si>
    <t>551751042020-9</t>
  </si>
  <si>
    <t>นายณัฐกิตต์</t>
  </si>
  <si>
    <t>ฉันทะ</t>
  </si>
  <si>
    <t>551733023030-9</t>
  </si>
  <si>
    <t>นายอรรถชัย</t>
  </si>
  <si>
    <t>ทองบาง</t>
  </si>
  <si>
    <t>2301</t>
  </si>
  <si>
    <t>551733023006-9</t>
  </si>
  <si>
    <t>นายพลากร</t>
  </si>
  <si>
    <t>ชาญสูงเนิน</t>
  </si>
  <si>
    <t>551733023014-3</t>
  </si>
  <si>
    <t>นายพงศ์นรินทร์</t>
  </si>
  <si>
    <t>บทสูงเนิน</t>
  </si>
  <si>
    <t>551733023017-6</t>
  </si>
  <si>
    <t>นายสมคิด</t>
  </si>
  <si>
    <t>ชะขุนทด</t>
  </si>
  <si>
    <t>551721011035-7</t>
  </si>
  <si>
    <t>นายสุรศักดิ์</t>
  </si>
  <si>
    <t>วิเศษนคร</t>
  </si>
  <si>
    <t>2302</t>
  </si>
  <si>
    <t>541721011022-8</t>
  </si>
  <si>
    <t>ธุสาวัน</t>
  </si>
  <si>
    <t>541721021009-3</t>
  </si>
  <si>
    <t>ชุนลิ</t>
  </si>
  <si>
    <t>541721011008-7</t>
  </si>
  <si>
    <t>นายกรวิชญ์</t>
  </si>
  <si>
    <t>เพ็ญจะมุข</t>
  </si>
  <si>
    <t>551722022015-4</t>
  </si>
  <si>
    <t>นายรังสิวุฒิ</t>
  </si>
  <si>
    <t>ชุบสุวรรณ</t>
  </si>
  <si>
    <t>2303</t>
  </si>
  <si>
    <t>551722022013-9</t>
  </si>
  <si>
    <t>นายนัฐพล</t>
  </si>
  <si>
    <t>ไม้โคกสูง</t>
  </si>
  <si>
    <t>551721032021-2</t>
  </si>
  <si>
    <t>นายอมรพงษ์</t>
  </si>
  <si>
    <t>ครองยุติ</t>
  </si>
  <si>
    <t>551751031027-7</t>
  </si>
  <si>
    <t>ธนารักษ์</t>
  </si>
  <si>
    <t>2304</t>
  </si>
  <si>
    <t>551751031013-7</t>
  </si>
  <si>
    <t>นายสิทธิพงษ์</t>
  </si>
  <si>
    <t>พันชนะ</t>
  </si>
  <si>
    <t>551721032031-1</t>
  </si>
  <si>
    <t>นายมหกพันธ์</t>
  </si>
  <si>
    <t>551751031022-8</t>
  </si>
  <si>
    <t>นายสพล</t>
  </si>
  <si>
    <t>แมงกลาง</t>
  </si>
  <si>
    <t>551761022017-8</t>
  </si>
  <si>
    <t>นายคำรณ</t>
  </si>
  <si>
    <t>แช่มขำ</t>
  </si>
  <si>
    <t>2305</t>
  </si>
  <si>
    <t>551761022010-3</t>
  </si>
  <si>
    <t>นายวีระยุทธ</t>
  </si>
  <si>
    <t>พรมสูงเนิน</t>
  </si>
  <si>
    <t>551761022025-1</t>
  </si>
  <si>
    <t>นายภควัต</t>
  </si>
  <si>
    <t>กระสาทอง</t>
  </si>
  <si>
    <t>551761022029-3</t>
  </si>
  <si>
    <t>นายปรัชญา</t>
  </si>
  <si>
    <t>จรโคกกรวด</t>
  </si>
  <si>
    <t>551732013011-3</t>
  </si>
  <si>
    <t>นายภาณุวิชญ์</t>
  </si>
  <si>
    <t>ทาพันธ์</t>
  </si>
  <si>
    <t>2306</t>
  </si>
  <si>
    <t>551732013004-8</t>
  </si>
  <si>
    <t>นายอนุชิต</t>
  </si>
  <si>
    <t>หมั่นสาน</t>
  </si>
  <si>
    <t>551732013012-1</t>
  </si>
  <si>
    <t>นายศิริศักดิ์</t>
  </si>
  <si>
    <t>มีศิริ</t>
  </si>
  <si>
    <t>551732013009-7</t>
  </si>
  <si>
    <t>นายศุภกร</t>
  </si>
  <si>
    <t>สุบินยัง</t>
  </si>
  <si>
    <t>551744012011-9</t>
  </si>
  <si>
    <t>นายตรีเพชร</t>
  </si>
  <si>
    <t>ดัชถุยาวัตร</t>
  </si>
  <si>
    <t>2307</t>
  </si>
  <si>
    <t>551744012022-6</t>
  </si>
  <si>
    <t>นายปัญญา</t>
  </si>
  <si>
    <t>อักษรพรมราช</t>
  </si>
  <si>
    <t>551744012010-1</t>
  </si>
  <si>
    <t>นายสุพจน์</t>
  </si>
  <si>
    <t>551744012018-4</t>
  </si>
  <si>
    <t>นายศรัณยู</t>
  </si>
  <si>
    <t>พิเศษ</t>
  </si>
  <si>
    <t>551746012002-3</t>
  </si>
  <si>
    <t>นายฤทธิรงค์</t>
  </si>
  <si>
    <t>ประพิน</t>
  </si>
  <si>
    <t>2308</t>
  </si>
  <si>
    <t>551746012012-2</t>
  </si>
  <si>
    <t>นายวรพันธุ์</t>
  </si>
  <si>
    <t>อินทรประพงศ์</t>
  </si>
  <si>
    <t>551746012016-3</t>
  </si>
  <si>
    <t>นายประสพชัย</t>
  </si>
  <si>
    <t>551746012026-2</t>
  </si>
  <si>
    <t>นายกรวิทย์</t>
  </si>
  <si>
    <t>ภัทรามรุต</t>
  </si>
  <si>
    <t>551745031021-2</t>
  </si>
  <si>
    <t>นายดุษฎี</t>
  </si>
  <si>
    <t>เบ็ญพาด</t>
  </si>
  <si>
    <t>2309</t>
  </si>
  <si>
    <t>551744012023-4</t>
  </si>
  <si>
    <t>กลิ่นจันทร์</t>
  </si>
  <si>
    <t>551751021010-5</t>
  </si>
  <si>
    <t>นายวัฒนชัย</t>
  </si>
  <si>
    <t>อาจวิชัย</t>
  </si>
  <si>
    <t>551751021008-9</t>
  </si>
  <si>
    <t>โม่งแสวง</t>
  </si>
  <si>
    <t>551733023031-7</t>
  </si>
  <si>
    <t>นิรัมย์</t>
  </si>
  <si>
    <t>2310</t>
  </si>
  <si>
    <t>551733023024-2</t>
  </si>
  <si>
    <t>นายธีรวุฒิ</t>
  </si>
  <si>
    <t>ครองชื่น</t>
  </si>
  <si>
    <t>551733023015-0</t>
  </si>
  <si>
    <t>นายวิทวัส</t>
  </si>
  <si>
    <t>สมพงษ์</t>
  </si>
  <si>
    <t>551733023016-8</t>
  </si>
  <si>
    <t>นายอาคม</t>
  </si>
  <si>
    <t>แสงทิตย์</t>
  </si>
  <si>
    <t>551733011019-6</t>
  </si>
  <si>
    <t>นายวสุพล</t>
  </si>
  <si>
    <t>จันทคาน</t>
  </si>
  <si>
    <t>2311</t>
  </si>
  <si>
    <t>551734011015-2</t>
  </si>
  <si>
    <t>นายเจนณรงค์</t>
  </si>
  <si>
    <t>เชิงเร็ว</t>
  </si>
  <si>
    <t>551733011012-1</t>
  </si>
  <si>
    <t>นายชานน</t>
  </si>
  <si>
    <t>551733011013-9</t>
  </si>
  <si>
    <t>นายพยุงศักดิ์</t>
  </si>
  <si>
    <t>ขนุนสูงเนิน</t>
  </si>
  <si>
    <t>551751042019-1</t>
  </si>
  <si>
    <t>นายวีระชัย</t>
  </si>
  <si>
    <t>ตาลกลาง</t>
  </si>
  <si>
    <t>2312</t>
  </si>
  <si>
    <t>551751042026-6</t>
  </si>
  <si>
    <t>นายพีระวุฒิ</t>
  </si>
  <si>
    <t>วงษ์เชื่อม</t>
  </si>
  <si>
    <t>551751042016-7</t>
  </si>
  <si>
    <t>สรศักดิ์</t>
  </si>
  <si>
    <t>551751042017-5</t>
  </si>
  <si>
    <t>รวยสันเทียะ</t>
  </si>
  <si>
    <t>551742023009-4</t>
  </si>
  <si>
    <t>นายพงษ์ศักดิ์</t>
  </si>
  <si>
    <t>แก้ววิเชียร</t>
  </si>
  <si>
    <t>2313</t>
  </si>
  <si>
    <t>551742023002-9</t>
  </si>
  <si>
    <t>นายหัสดิน</t>
  </si>
  <si>
    <t>โป่งจินา</t>
  </si>
  <si>
    <t>551742023014-4</t>
  </si>
  <si>
    <t>นายนพรัตน์</t>
  </si>
  <si>
    <t>ผลทับทิม</t>
  </si>
  <si>
    <t>551742023022-7</t>
  </si>
  <si>
    <t>นายอดิศักดิ์</t>
  </si>
  <si>
    <t>จุ้ยดอนกลอย</t>
  </si>
  <si>
    <t>551731023010-5</t>
  </si>
  <si>
    <t>นายศิริพงษ์</t>
  </si>
  <si>
    <t>พรมขันธ์</t>
  </si>
  <si>
    <t>2314</t>
  </si>
  <si>
    <t>551731023024-6</t>
  </si>
  <si>
    <t>นายธรรมนูญ</t>
  </si>
  <si>
    <t>ไร่พริก</t>
  </si>
  <si>
    <t>551731023003-0</t>
  </si>
  <si>
    <t>นายณรงค์เดช</t>
  </si>
  <si>
    <t>แสงชาติ</t>
  </si>
  <si>
    <t>551731022035-3</t>
  </si>
  <si>
    <t>นายพิทยภงค์</t>
  </si>
  <si>
    <t>พลงาม</t>
  </si>
  <si>
    <t>551721011017-5</t>
  </si>
  <si>
    <t>นายนนทกร</t>
  </si>
  <si>
    <t>ชำนิสังข์</t>
  </si>
  <si>
    <t>2315</t>
  </si>
  <si>
    <t>551721011008-4</t>
  </si>
  <si>
    <t>นายปาริวัตร</t>
  </si>
  <si>
    <t>อยู่ทิพย์</t>
  </si>
  <si>
    <t>551721011002-7</t>
  </si>
  <si>
    <t>นายสถาพร</t>
  </si>
  <si>
    <t>551721011014-2</t>
  </si>
  <si>
    <t>นายพงศกร</t>
  </si>
  <si>
    <t>ศรีจันทร์</t>
  </si>
  <si>
    <t>551734032008-2</t>
  </si>
  <si>
    <t>นายนพเดช</t>
  </si>
  <si>
    <t>สุขแก้ว</t>
  </si>
  <si>
    <t>2316</t>
  </si>
  <si>
    <t>551734032006-6</t>
  </si>
  <si>
    <t>นายพัชรพล</t>
  </si>
  <si>
    <t>นิวงษา</t>
  </si>
  <si>
    <t>551734032007-4</t>
  </si>
  <si>
    <t>นายจักรี</t>
  </si>
  <si>
    <t>สอพิมาย</t>
  </si>
  <si>
    <t>551734043004-8</t>
  </si>
  <si>
    <t>ล้ำประเสริฐ</t>
  </si>
  <si>
    <t>551742011007-2</t>
  </si>
  <si>
    <t>นายภูเบศร์</t>
  </si>
  <si>
    <t>จันทร์คณา</t>
  </si>
  <si>
    <t>2317</t>
  </si>
  <si>
    <t>551742011006-4</t>
  </si>
  <si>
    <t>พิมพ์จ่อง</t>
  </si>
  <si>
    <t>551761022012-9</t>
  </si>
  <si>
    <t>นายประดิษฐ์</t>
  </si>
  <si>
    <t>แปงต่อม</t>
  </si>
  <si>
    <t>2318</t>
  </si>
  <si>
    <t>551761022014-5</t>
  </si>
  <si>
    <t>จ่อยพันนา</t>
  </si>
  <si>
    <t>551761022011-1</t>
  </si>
  <si>
    <t>นายอนิวัตติ์</t>
  </si>
  <si>
    <t>แสนสวัสดิ์</t>
  </si>
  <si>
    <t>551761022013-7</t>
  </si>
  <si>
    <t>นายธนาคม</t>
  </si>
  <si>
    <t>หมั่นคิด</t>
  </si>
  <si>
    <t>551744012012-7</t>
  </si>
  <si>
    <t>นายจามร</t>
  </si>
  <si>
    <t>ศรีพินิจ</t>
  </si>
  <si>
    <t>2319</t>
  </si>
  <si>
    <t>551744012021-8</t>
  </si>
  <si>
    <t>นายปรมา</t>
  </si>
  <si>
    <t>มารารัมย์</t>
  </si>
  <si>
    <t>551744012013-5</t>
  </si>
  <si>
    <t>นายพรทวี</t>
  </si>
  <si>
    <t>พะธะนะ</t>
  </si>
  <si>
    <t>551744012016-8</t>
  </si>
  <si>
    <t>นายพงษ์พิษณุ</t>
  </si>
  <si>
    <t>ใบดำ</t>
  </si>
  <si>
    <t>541733022011-3</t>
  </si>
  <si>
    <t>นายตุลยพรหมินทร์</t>
  </si>
  <si>
    <t>กลิ่นขจร</t>
  </si>
  <si>
    <t>2320</t>
  </si>
  <si>
    <t>541733022027-9</t>
  </si>
  <si>
    <t>นายดนัย</t>
  </si>
  <si>
    <t>ก่องนอก</t>
  </si>
  <si>
    <t>541733022035-2</t>
  </si>
  <si>
    <t>นายสิทธิพงศ์</t>
  </si>
  <si>
    <t>ชวนโพธิ์</t>
  </si>
  <si>
    <t>541733022010-5</t>
  </si>
  <si>
    <t>นายณัฐกิตติ์</t>
  </si>
  <si>
    <t>551742023023-5</t>
  </si>
  <si>
    <t>นายพงศ์ธนะศักดิ์</t>
  </si>
  <si>
    <t>ทองดีนอก</t>
  </si>
  <si>
    <t>2321</t>
  </si>
  <si>
    <t>551742023006-0</t>
  </si>
  <si>
    <t>นายสุทัศน์</t>
  </si>
  <si>
    <t>ก้อนเพชร</t>
  </si>
  <si>
    <t>551742023007-8</t>
  </si>
  <si>
    <t>นายณฐกานต์</t>
  </si>
  <si>
    <t>อ่อนปะคำ</t>
  </si>
  <si>
    <t>541741022010-8</t>
  </si>
  <si>
    <t>นายอนุศาสน์</t>
  </si>
  <si>
    <t>มณีกานต์ภูเบศ</t>
  </si>
  <si>
    <t>2322</t>
  </si>
  <si>
    <t>551744012029-1</t>
  </si>
  <si>
    <t>นายพงษ์ศิริ</t>
  </si>
  <si>
    <t>ศรีน้อย</t>
  </si>
  <si>
    <t>541741022015-7</t>
  </si>
  <si>
    <t>ปะโมทะโก</t>
  </si>
  <si>
    <t>541741022028-0</t>
  </si>
  <si>
    <t>นายยุทธพงษ์</t>
  </si>
  <si>
    <t>551745031020-4</t>
  </si>
  <si>
    <t>นายธีร์ธวัช</t>
  </si>
  <si>
    <t>พันเหนือ</t>
  </si>
  <si>
    <t>2323</t>
  </si>
  <si>
    <t>551745031027-9</t>
  </si>
  <si>
    <t>นายไกรภพ</t>
  </si>
  <si>
    <t>โพธิ์มีศิริ</t>
  </si>
  <si>
    <t>551745031017-0</t>
  </si>
  <si>
    <t>นายชานนท์</t>
  </si>
  <si>
    <t>ทองกระโทก</t>
  </si>
  <si>
    <t>551632022017-1</t>
  </si>
  <si>
    <t>นายราชศักดิ์</t>
  </si>
  <si>
    <t>ราสิมานนท์</t>
  </si>
  <si>
    <t>2324</t>
  </si>
  <si>
    <t>551522012047-3</t>
  </si>
  <si>
    <t>นายพิษณุ</t>
  </si>
  <si>
    <t>เจริญขวัญ</t>
  </si>
  <si>
    <t>531622012022-9</t>
  </si>
  <si>
    <t>นายธีรศักดิ์</t>
  </si>
  <si>
    <t>บุตรธิยากลัด</t>
  </si>
  <si>
    <t>551523022048-7</t>
  </si>
  <si>
    <t>กาญจนวัฒนาวงศ์</t>
  </si>
  <si>
    <t>551751042009-2</t>
  </si>
  <si>
    <t>นายณัฐกานต์</t>
  </si>
  <si>
    <t>สินสวัสดิ์</t>
  </si>
  <si>
    <t>2325</t>
  </si>
  <si>
    <t>551731022019-7</t>
  </si>
  <si>
    <t>นายรณกร</t>
  </si>
  <si>
    <t>ศรีตระกูล</t>
  </si>
  <si>
    <t>551742022020-2</t>
  </si>
  <si>
    <t>นายปรเมศวร์</t>
  </si>
  <si>
    <t>ฝากไธสง</t>
  </si>
  <si>
    <t>551731022032-0</t>
  </si>
  <si>
    <t>นายเจษฎา</t>
  </si>
  <si>
    <t>551742022004-6</t>
  </si>
  <si>
    <t>นาคดี</t>
  </si>
  <si>
    <t>2326</t>
  </si>
  <si>
    <t>551742022003-8</t>
  </si>
  <si>
    <t>นายสราวุธ</t>
  </si>
  <si>
    <t>ทอนสูงเนิน</t>
  </si>
  <si>
    <t>551742022006-1</t>
  </si>
  <si>
    <t>นายรุ่งโรจน์</t>
  </si>
  <si>
    <t>ร่มกลาง</t>
  </si>
  <si>
    <t>551742022017-8</t>
  </si>
  <si>
    <t>นายจารุพรรดิ</t>
  </si>
  <si>
    <t>ราชนิล</t>
  </si>
  <si>
    <t>551744012004-4</t>
  </si>
  <si>
    <t>นายรัฐพล</t>
  </si>
  <si>
    <t>2327</t>
  </si>
  <si>
    <t>551744012005-1</t>
  </si>
  <si>
    <t>นายจีรวัฒน์</t>
  </si>
  <si>
    <t>พรโสภิณ</t>
  </si>
  <si>
    <t>551744012003-6</t>
  </si>
  <si>
    <t>นายเอกลักษณ์</t>
  </si>
  <si>
    <t>โอมฤก</t>
  </si>
  <si>
    <t>551744012020-0</t>
  </si>
  <si>
    <t>นายมานิตย์</t>
  </si>
  <si>
    <t>น้ำนิล</t>
  </si>
  <si>
    <t>551732013026-1</t>
  </si>
  <si>
    <t>นายธีรพงศ์</t>
  </si>
  <si>
    <t>ตุ่นลำ</t>
  </si>
  <si>
    <t>2328</t>
  </si>
  <si>
    <t>551732013024-6</t>
  </si>
  <si>
    <t>นายสุจินดา</t>
  </si>
  <si>
    <t>เพียช่อ</t>
  </si>
  <si>
    <t>541732012016-6</t>
  </si>
  <si>
    <t>นายพีรพงษ์</t>
  </si>
  <si>
    <t>คงทรัพย์</t>
  </si>
  <si>
    <t>541732012025-7</t>
  </si>
  <si>
    <t>นายปฏิญญา</t>
  </si>
  <si>
    <t>หนูไทย</t>
  </si>
  <si>
    <t>551751031024-4</t>
  </si>
  <si>
    <t>นายอภิวันท์</t>
  </si>
  <si>
    <t>ชัยภักดี</t>
  </si>
  <si>
    <t>2329</t>
  </si>
  <si>
    <t>551751031008-7</t>
  </si>
  <si>
    <t>นายบุญฤทธิ์</t>
  </si>
  <si>
    <t>ชดพรมราช</t>
  </si>
  <si>
    <t>551751031009-5</t>
  </si>
  <si>
    <t>นายวิฑูรย์</t>
  </si>
  <si>
    <t>พลสว่าง</t>
  </si>
  <si>
    <t>551751031003-8</t>
  </si>
  <si>
    <t>กันขุนทด</t>
  </si>
  <si>
    <t>551731023009-7</t>
  </si>
  <si>
    <t>นายธงชัย</t>
  </si>
  <si>
    <t>สีทน</t>
  </si>
  <si>
    <t>2330</t>
  </si>
  <si>
    <t>551731023011-3</t>
  </si>
  <si>
    <t>คำมา</t>
  </si>
  <si>
    <t>551731023007-1</t>
  </si>
  <si>
    <t>อินนอก</t>
  </si>
  <si>
    <t>551731023032-9</t>
  </si>
  <si>
    <t>นายศิวพงศ์</t>
  </si>
  <si>
    <t>วงศ์ฉลาด</t>
  </si>
  <si>
    <t>551733011026-1</t>
  </si>
  <si>
    <t>นายธนพัฒน์</t>
  </si>
  <si>
    <t>กลั่นเกลี้ยง</t>
  </si>
  <si>
    <t>2331</t>
  </si>
  <si>
    <t>551734011002-0</t>
  </si>
  <si>
    <t>นายธเนศ</t>
  </si>
  <si>
    <t>ปานสันเทียะ</t>
  </si>
  <si>
    <t>551734011003-8</t>
  </si>
  <si>
    <t>นายพลวัฒน์</t>
  </si>
  <si>
    <t>ต้นหนองสรวง</t>
  </si>
  <si>
    <t>551734032019-9</t>
  </si>
  <si>
    <t>ชุมจันทร์</t>
  </si>
  <si>
    <t>551741011024-9</t>
  </si>
  <si>
    <t>นายณัฐวุฒิ</t>
  </si>
  <si>
    <t>แก้วถาวร</t>
  </si>
  <si>
    <t>2332</t>
  </si>
  <si>
    <t>551741011021-5</t>
  </si>
  <si>
    <t>นายพลภัทร</t>
  </si>
  <si>
    <t>จิวตระกูล</t>
  </si>
  <si>
    <t>551741011009-0</t>
  </si>
  <si>
    <t>นายไตรเทพ</t>
  </si>
  <si>
    <t>551741011010-8</t>
  </si>
  <si>
    <t>นายอิสรา</t>
  </si>
  <si>
    <t>อินทร์ปาน</t>
  </si>
  <si>
    <t>551721032028-7</t>
  </si>
  <si>
    <t>ต้นสันเทียะ</t>
  </si>
  <si>
    <t>2333</t>
  </si>
  <si>
    <t>551721032002-2</t>
  </si>
  <si>
    <t>นายมัชกานต์</t>
  </si>
  <si>
    <t>เชิดชูณรงค์</t>
  </si>
  <si>
    <t>551721032009-7</t>
  </si>
  <si>
    <t>นายเชษฐพงษ์</t>
  </si>
  <si>
    <t>กองกระโทก</t>
  </si>
  <si>
    <t>551733011017-0</t>
  </si>
  <si>
    <t>นายชัยยันต์</t>
  </si>
  <si>
    <t>มะกรูดอินทร์</t>
  </si>
  <si>
    <t>2334</t>
  </si>
  <si>
    <t>551733011004-8</t>
  </si>
  <si>
    <t>นายรัฐพงษ์</t>
  </si>
  <si>
    <t>ศิลาโคกกรวด</t>
  </si>
  <si>
    <t>551734032026-4</t>
  </si>
  <si>
    <t>นายนุกูล</t>
  </si>
  <si>
    <t>ระไวกลาง</t>
  </si>
  <si>
    <t>551732012001-5</t>
  </si>
  <si>
    <t>นายทศภูมิ</t>
  </si>
  <si>
    <t>แทนรินทร์</t>
  </si>
  <si>
    <t>551733023004-4</t>
  </si>
  <si>
    <t>นายมงคล</t>
  </si>
  <si>
    <t>ทองคำ</t>
  </si>
  <si>
    <t>2335</t>
  </si>
  <si>
    <t>551733023012-7</t>
  </si>
  <si>
    <t>นายจิรพงศ์</t>
  </si>
  <si>
    <t>ติงสะ</t>
  </si>
  <si>
    <t>551733023002-8</t>
  </si>
  <si>
    <t>นายพายุ</t>
  </si>
  <si>
    <t>ร่างเจริญ</t>
  </si>
  <si>
    <t>551733023021-8</t>
  </si>
  <si>
    <t>นายบดินทร์</t>
  </si>
  <si>
    <t>อ่อนซาผิว</t>
  </si>
  <si>
    <t>551721032010-5</t>
  </si>
  <si>
    <t>เกินสันเทียะ</t>
  </si>
  <si>
    <t>2336</t>
  </si>
  <si>
    <t>551721032003-0</t>
  </si>
  <si>
    <t>นายธีรพร</t>
  </si>
  <si>
    <t>วิไลกลาง</t>
  </si>
  <si>
    <t>551721032018-8</t>
  </si>
  <si>
    <t>นายไพศาล</t>
  </si>
  <si>
    <t>ชูชีวา</t>
  </si>
  <si>
    <t>551721032024-6</t>
  </si>
  <si>
    <t>นายนฤพงศ</t>
  </si>
  <si>
    <t>ยอดแก้ว</t>
  </si>
  <si>
    <t>551732013013-9</t>
  </si>
  <si>
    <t>นายธนานันต์</t>
  </si>
  <si>
    <t>เปี่ยมคัมภีร์</t>
  </si>
  <si>
    <t>2401</t>
  </si>
  <si>
    <t>551732013019-6</t>
  </si>
  <si>
    <t>นายครองศักดิ์</t>
  </si>
  <si>
    <t>รวมธรรม</t>
  </si>
  <si>
    <t>551732013008-9</t>
  </si>
  <si>
    <t>นายธีรัฐฎา</t>
  </si>
  <si>
    <t>ปาประโคน</t>
  </si>
  <si>
    <t>551732013007-1</t>
  </si>
  <si>
    <t>นายดำรงศักดิ์</t>
  </si>
  <si>
    <t>คนึงเพียร</t>
  </si>
  <si>
    <t>551721033019-5</t>
  </si>
  <si>
    <t>นายภาณุพงศ์</t>
  </si>
  <si>
    <t>พันพิพัฒน์</t>
  </si>
  <si>
    <t>2402</t>
  </si>
  <si>
    <t>551721033017-9</t>
  </si>
  <si>
    <t>นายอติชาติ</t>
  </si>
  <si>
    <t>วงศ์ไกร</t>
  </si>
  <si>
    <t>551721033011-2</t>
  </si>
  <si>
    <t>นายทวีวัฒน์</t>
  </si>
  <si>
    <t>รักษาชาติ</t>
  </si>
  <si>
    <t>551721011026-6</t>
  </si>
  <si>
    <t>นายณรงค์ศักดิ์</t>
  </si>
  <si>
    <t>โคตรสุวรรณ</t>
  </si>
  <si>
    <t>551751011011-5</t>
  </si>
  <si>
    <t>ทับพุดซา</t>
  </si>
  <si>
    <t>2403</t>
  </si>
  <si>
    <t>551751011014-9</t>
  </si>
  <si>
    <t>นายจักรกฤช</t>
  </si>
  <si>
    <t>พรหมภูวัลย์</t>
  </si>
  <si>
    <t>551751011016-4</t>
  </si>
  <si>
    <t>นายศราวุฒิ</t>
  </si>
  <si>
    <t>งอนกระโทก</t>
  </si>
  <si>
    <t>551751031017-8</t>
  </si>
  <si>
    <t>นายพิสิฐ</t>
  </si>
  <si>
    <t>อินทรสอน</t>
  </si>
  <si>
    <t>551733023010-1</t>
  </si>
  <si>
    <t>นายสมภพ</t>
  </si>
  <si>
    <t>พิมานรัมย์</t>
  </si>
  <si>
    <t>2404</t>
  </si>
  <si>
    <t>551751043009-1</t>
  </si>
  <si>
    <t>นายธีระพงษ์</t>
  </si>
  <si>
    <t>551751043001-8</t>
  </si>
  <si>
    <t>นายนัฐพงค์</t>
  </si>
  <si>
    <t>ภูสีลิตร</t>
  </si>
  <si>
    <t>551733023013-5</t>
  </si>
  <si>
    <t>พรมวรรณ์</t>
  </si>
  <si>
    <t>551733011007-1</t>
  </si>
  <si>
    <t>เธียรถาวร</t>
  </si>
  <si>
    <t>2405</t>
  </si>
  <si>
    <t>551733011003-0</t>
  </si>
  <si>
    <t>ผลาดกลาง</t>
  </si>
  <si>
    <t>551733011020-4</t>
  </si>
  <si>
    <t>นายอธิบดี</t>
  </si>
  <si>
    <t>เกิดมงคล</t>
  </si>
  <si>
    <t>551733011001-4</t>
  </si>
  <si>
    <t>ยาวโนภาส</t>
  </si>
  <si>
    <t>551742022026-9</t>
  </si>
  <si>
    <t>นายธีระวัฒน์</t>
  </si>
  <si>
    <t>ดงเทียมศรี</t>
  </si>
  <si>
    <t>2406</t>
  </si>
  <si>
    <t>551742022007-9</t>
  </si>
  <si>
    <t>นายวันชัย</t>
  </si>
  <si>
    <t>551742022014-5</t>
  </si>
  <si>
    <t>คงตระกูล</t>
  </si>
  <si>
    <t>551741011020-7</t>
  </si>
  <si>
    <t>นายธีรนัย</t>
  </si>
  <si>
    <t>อนันเอื้อ</t>
  </si>
  <si>
    <t>2407</t>
  </si>
  <si>
    <t>551741011001-7</t>
  </si>
  <si>
    <t>นายจักรกฤษ</t>
  </si>
  <si>
    <t>พุฒซ้อน</t>
  </si>
  <si>
    <t>551741011016-5</t>
  </si>
  <si>
    <t>นายสุรินทร์</t>
  </si>
  <si>
    <t>กนิษฐสังกาศ</t>
  </si>
  <si>
    <t>541762012022-1</t>
  </si>
  <si>
    <t>นายปัญญากร</t>
  </si>
  <si>
    <t>เพิ่มขุนทด</t>
  </si>
  <si>
    <t>2408</t>
  </si>
  <si>
    <t>541521033062-2</t>
  </si>
  <si>
    <t>นายเกรียงไกร</t>
  </si>
  <si>
    <t>ลองชัยภูมิ</t>
  </si>
  <si>
    <t>551531011202-6</t>
  </si>
  <si>
    <t>นายคัมภีร์</t>
  </si>
  <si>
    <t>เปาะชะนะ</t>
  </si>
  <si>
    <t>521751043026-2</t>
  </si>
  <si>
    <t>นายศุภชัย</t>
  </si>
  <si>
    <t>ขอดดอน</t>
  </si>
  <si>
    <t>551734032018-1</t>
  </si>
  <si>
    <t>นายตุลา</t>
  </si>
  <si>
    <t>เรืองอิน</t>
  </si>
  <si>
    <t>2409</t>
  </si>
  <si>
    <t>551734032027-2</t>
  </si>
  <si>
    <t>นายนฤเบศร์</t>
  </si>
  <si>
    <t>ครูแพทย์</t>
  </si>
  <si>
    <t>551734032022-3</t>
  </si>
  <si>
    <t>นายณัฐดนัย</t>
  </si>
  <si>
    <t>ยังพิมาย</t>
  </si>
  <si>
    <t>551734032024-9</t>
  </si>
  <si>
    <t>นายทศพล</t>
  </si>
  <si>
    <t>ไม้ดี</t>
  </si>
  <si>
    <t>551734043034-5</t>
  </si>
  <si>
    <t>นายปฐมพร</t>
  </si>
  <si>
    <t>เปลี่ยนสุข</t>
  </si>
  <si>
    <t>2410</t>
  </si>
  <si>
    <t>551734043003-0</t>
  </si>
  <si>
    <t>นายพิรัช</t>
  </si>
  <si>
    <t>เพียรการ</t>
  </si>
  <si>
    <t>551732013016-2</t>
  </si>
  <si>
    <t>นายชัยชนะ</t>
  </si>
  <si>
    <t>บุญสุข</t>
  </si>
  <si>
    <t>551732013005-5</t>
  </si>
  <si>
    <t>หมายรอกลาง</t>
  </si>
  <si>
    <t>551721032013-9</t>
  </si>
  <si>
    <t>นายปิติภัทร</t>
  </si>
  <si>
    <t>คล้อยจันทึก</t>
  </si>
  <si>
    <t>2411</t>
  </si>
  <si>
    <t>551721032011-3</t>
  </si>
  <si>
    <t>นายวรกานต์</t>
  </si>
  <si>
    <t>เอมกลาง</t>
  </si>
  <si>
    <t>541733022001-4</t>
  </si>
  <si>
    <t>นายอติศักดิ์</t>
  </si>
  <si>
    <t>จีบค้างพลู</t>
  </si>
  <si>
    <t>541733022023-8</t>
  </si>
  <si>
    <t>นายวารุณ</t>
  </si>
  <si>
    <t>วงศ์ไชย</t>
  </si>
  <si>
    <t>551751021023-8</t>
  </si>
  <si>
    <t>นายฐิติพงษ์</t>
  </si>
  <si>
    <t>ประยูรเมฆ</t>
  </si>
  <si>
    <t>2412</t>
  </si>
  <si>
    <t>551751021021-2</t>
  </si>
  <si>
    <t>ดีจันทึก</t>
  </si>
  <si>
    <t>551751021022-0</t>
  </si>
  <si>
    <t>นายคมศักดิ์</t>
  </si>
  <si>
    <t>บนสันเทียะ</t>
  </si>
  <si>
    <t>551751021025-3</t>
  </si>
  <si>
    <t>นายจุฬานุวัฒน์</t>
  </si>
  <si>
    <t>ทิพย์อาภรณ์</t>
  </si>
  <si>
    <t>551752062003-8</t>
  </si>
  <si>
    <t>นายโกมินทร์</t>
  </si>
  <si>
    <t>พูนวิลัย</t>
  </si>
  <si>
    <t>2413</t>
  </si>
  <si>
    <t>551752062021-0</t>
  </si>
  <si>
    <t>นายกานต์</t>
  </si>
  <si>
    <t>เขียวปาน</t>
  </si>
  <si>
    <t>551752062017-8</t>
  </si>
  <si>
    <t>รำมะนา</t>
  </si>
  <si>
    <t>551752062025-1</t>
  </si>
  <si>
    <t>นายกฤษดา</t>
  </si>
  <si>
    <t>ไชยชมภู</t>
  </si>
  <si>
    <t>551733022003-7</t>
  </si>
  <si>
    <t>คเชนทร์ชาติ</t>
  </si>
  <si>
    <t>2414</t>
  </si>
  <si>
    <t>551733011031-1</t>
  </si>
  <si>
    <t>จุติสีมา</t>
  </si>
  <si>
    <t>551733011009-7</t>
  </si>
  <si>
    <t>นายวุฒิเกรียงไกร</t>
  </si>
  <si>
    <t>พลแย้ม</t>
  </si>
  <si>
    <t>551734011027-7</t>
  </si>
  <si>
    <t>นายพรพจน์</t>
  </si>
  <si>
    <t>ฉิมพลี</t>
  </si>
  <si>
    <t>551751011004-0</t>
  </si>
  <si>
    <t>นายอนนท์</t>
  </si>
  <si>
    <t>ไขบุคดี</t>
  </si>
  <si>
    <t>2415</t>
  </si>
  <si>
    <t>551751011001-6</t>
  </si>
  <si>
    <t>นายเกรียงศักดิ์</t>
  </si>
  <si>
    <t>ติสันเทียะ</t>
  </si>
  <si>
    <t>551751011002-4</t>
  </si>
  <si>
    <t>นายพัฒนกิจ</t>
  </si>
  <si>
    <t>ทรวงโพธิ์</t>
  </si>
  <si>
    <t>551721033023-7</t>
  </si>
  <si>
    <t>โคตะ</t>
  </si>
  <si>
    <t>2416</t>
  </si>
  <si>
    <t>551721033024-5</t>
  </si>
  <si>
    <t>เพ็งพินิจ</t>
  </si>
  <si>
    <t>551721033013-8</t>
  </si>
  <si>
    <t>นายบูลัน</t>
  </si>
  <si>
    <t>จันทร์คำศรี</t>
  </si>
  <si>
    <t>551721033034-4</t>
  </si>
  <si>
    <t>ภูมิโชติ</t>
  </si>
  <si>
    <t>551742022015-2</t>
  </si>
  <si>
    <t>หาญชนะ</t>
  </si>
  <si>
    <t>2417</t>
  </si>
  <si>
    <t>551742022021-0</t>
  </si>
  <si>
    <t>นายสถิต</t>
  </si>
  <si>
    <t>บุญเลิศ</t>
  </si>
  <si>
    <t>551742022005-3</t>
  </si>
  <si>
    <t>นายอภิสิทธิ์</t>
  </si>
  <si>
    <t>ธรรมวัฒน์</t>
  </si>
  <si>
    <t>551742022002-0</t>
  </si>
  <si>
    <t>นายนววิทย์</t>
  </si>
  <si>
    <t>551745031015-4</t>
  </si>
  <si>
    <t>นายพัศกร</t>
  </si>
  <si>
    <t>วงษ์สนิท</t>
  </si>
  <si>
    <t>2418</t>
  </si>
  <si>
    <t>551745031008-9</t>
  </si>
  <si>
    <t>นายทรงพล</t>
  </si>
  <si>
    <t>รัศมี</t>
  </si>
  <si>
    <t>551745031006-3</t>
  </si>
  <si>
    <t>นายวัฒนา</t>
  </si>
  <si>
    <t>ทิศกระโทก</t>
  </si>
  <si>
    <t>551745031014-7</t>
  </si>
  <si>
    <t>นายภาคภูมิ</t>
  </si>
  <si>
    <t>อินทรไกร</t>
  </si>
  <si>
    <t>551762012010-3</t>
  </si>
  <si>
    <t>นายศรายุทธ</t>
  </si>
  <si>
    <t>ยวนกระโทก</t>
  </si>
  <si>
    <t>2419</t>
  </si>
  <si>
    <t>551762012019-4</t>
  </si>
  <si>
    <t>นายภูวดล</t>
  </si>
  <si>
    <t>ศรีประสิทธิ์</t>
  </si>
  <si>
    <t>551762012027-7</t>
  </si>
  <si>
    <t>สุวรรณเสาร์</t>
  </si>
  <si>
    <t>551762012012-9</t>
  </si>
  <si>
    <t>นายอดิศร</t>
  </si>
  <si>
    <t>สาสนาม</t>
  </si>
  <si>
    <t>551731022021-3</t>
  </si>
  <si>
    <t>นายชูศักดิ์</t>
  </si>
  <si>
    <t>ดีขุนทด</t>
  </si>
  <si>
    <t>2420</t>
  </si>
  <si>
    <t>551731022002-3</t>
  </si>
  <si>
    <t>นายวิทยา</t>
  </si>
  <si>
    <t>แก้วศรีจันทร์</t>
  </si>
  <si>
    <t>551731022006-4</t>
  </si>
  <si>
    <t>นายปรีชา</t>
  </si>
  <si>
    <t>ศรีมันตะ</t>
  </si>
  <si>
    <t>551751021014-7</t>
  </si>
  <si>
    <t>นายธีรพล</t>
  </si>
  <si>
    <t>โพธิ์ใหญ่</t>
  </si>
  <si>
    <t>2421</t>
  </si>
  <si>
    <t>551751021013-9</t>
  </si>
  <si>
    <t>นายศุภลักษณ์</t>
  </si>
  <si>
    <t>ช่างศรี</t>
  </si>
  <si>
    <t>551751021001-4</t>
  </si>
  <si>
    <t>นายฐานพงศ์</t>
  </si>
  <si>
    <t>งอกกำไร</t>
  </si>
  <si>
    <t>551751021027-9</t>
  </si>
  <si>
    <t>นายอนุพงศ์</t>
  </si>
  <si>
    <t>แก้วไพรี</t>
  </si>
  <si>
    <t>551733022017-7</t>
  </si>
  <si>
    <t>นายสมปอง</t>
  </si>
  <si>
    <t>ศรีสุข</t>
  </si>
  <si>
    <t>2422</t>
  </si>
  <si>
    <t>551733023026-7</t>
  </si>
  <si>
    <t>นายสุรเชษฐ์</t>
  </si>
  <si>
    <t>นามมะเริง</t>
  </si>
  <si>
    <t>551733023020-0</t>
  </si>
  <si>
    <t>กองพิมาย</t>
  </si>
  <si>
    <t>551733022020-1</t>
  </si>
  <si>
    <t>นายจริยะ</t>
  </si>
  <si>
    <t>ช่างบุ</t>
  </si>
  <si>
    <t>551741022023-8</t>
  </si>
  <si>
    <t>หอมวัน</t>
  </si>
  <si>
    <t>2423</t>
  </si>
  <si>
    <t>551742022018-6</t>
  </si>
  <si>
    <t>นายกอบเกียรติ</t>
  </si>
  <si>
    <t>เพขุนทด</t>
  </si>
  <si>
    <t>551746012010-6</t>
  </si>
  <si>
    <t>นายศิลานนท์</t>
  </si>
  <si>
    <t>ศรีนาคา</t>
  </si>
  <si>
    <t>551741022020-4</t>
  </si>
  <si>
    <t>นายทินวัฒน์</t>
  </si>
  <si>
    <t>ห่ามสันเทียะ</t>
  </si>
  <si>
    <t>551721011001-9</t>
  </si>
  <si>
    <t>นายธนรัฐ</t>
  </si>
  <si>
    <t>สมสา</t>
  </si>
  <si>
    <t>2424</t>
  </si>
  <si>
    <t>551721011004-3</t>
  </si>
  <si>
    <t>นายนนทชัย</t>
  </si>
  <si>
    <t>ขันธวุธ</t>
  </si>
  <si>
    <t>551721011029-0</t>
  </si>
  <si>
    <t>นายภูดล</t>
  </si>
  <si>
    <t>อุดมพงษ์</t>
  </si>
  <si>
    <t>551721011013-4</t>
  </si>
  <si>
    <t>นายนิธิวัฒน์</t>
  </si>
  <si>
    <t>สิริวงศ์พวงภู่</t>
  </si>
  <si>
    <t>551731022018-9</t>
  </si>
  <si>
    <t>นายศุภกิจ</t>
  </si>
  <si>
    <t>เปไธสง</t>
  </si>
  <si>
    <t>2425</t>
  </si>
  <si>
    <t>551731022015-5</t>
  </si>
  <si>
    <t>นายธีรวัต</t>
  </si>
  <si>
    <t>เลี้ยงจอหอ</t>
  </si>
  <si>
    <t>551731022013-0</t>
  </si>
  <si>
    <t>นายวรวิทย์</t>
  </si>
  <si>
    <t>มะณีเติม</t>
  </si>
  <si>
    <t>551731022012-2</t>
  </si>
  <si>
    <t>นายวชิรวิชญ์</t>
  </si>
  <si>
    <t>ปิ่นพานิชการ</t>
  </si>
  <si>
    <t>551732012007-2</t>
  </si>
  <si>
    <t>นายชนาธิป</t>
  </si>
  <si>
    <t>กัลยา</t>
  </si>
  <si>
    <t>2426</t>
  </si>
  <si>
    <t>551732012015-5</t>
  </si>
  <si>
    <t>หงษ์สำโรง</t>
  </si>
  <si>
    <t>551732012017-1</t>
  </si>
  <si>
    <t>วงศ์ตรี</t>
  </si>
  <si>
    <t>551732012018-9</t>
  </si>
  <si>
    <t>นายสุทธิเกียรติ</t>
  </si>
  <si>
    <t>กิรัมย์</t>
  </si>
  <si>
    <t>551733011028-7</t>
  </si>
  <si>
    <t>นายภาสุ</t>
  </si>
  <si>
    <t>โสงขุนทด</t>
  </si>
  <si>
    <t>2427</t>
  </si>
  <si>
    <t>551733022005-2</t>
  </si>
  <si>
    <t>นายอนุเชษฐ</t>
  </si>
  <si>
    <t>พาขุนทด</t>
  </si>
  <si>
    <t>551733011032-9</t>
  </si>
  <si>
    <t>นายพรเทพ</t>
  </si>
  <si>
    <t>อารีชาติ</t>
  </si>
  <si>
    <t>551734011010-3</t>
  </si>
  <si>
    <t>551742022012-9</t>
  </si>
  <si>
    <t>นายยุทธนา</t>
  </si>
  <si>
    <t>พะสีนาม</t>
  </si>
  <si>
    <t>2428</t>
  </si>
  <si>
    <t>551742022028-5</t>
  </si>
  <si>
    <t>นายนิธิพัฒน์</t>
  </si>
  <si>
    <t>สิงห์ลอ</t>
  </si>
  <si>
    <t>551742022010-3</t>
  </si>
  <si>
    <t>นายธนกฤต</t>
  </si>
  <si>
    <t>งามพิมาย</t>
  </si>
  <si>
    <t>551742011001-5</t>
  </si>
  <si>
    <t>นายรณพร</t>
  </si>
  <si>
    <t>วิจิตรผล</t>
  </si>
  <si>
    <t>551751021002-2</t>
  </si>
  <si>
    <t>นายมนัส</t>
  </si>
  <si>
    <t>กล่อมสำโรง</t>
  </si>
  <si>
    <t>2429</t>
  </si>
  <si>
    <t>551751021004-8</t>
  </si>
  <si>
    <t>นายทวีศักดิ์</t>
  </si>
  <si>
    <t>พลาดสำโรง</t>
  </si>
  <si>
    <t>551751021006-3</t>
  </si>
  <si>
    <t>โพธิ์ไพร</t>
  </si>
  <si>
    <t>551751021007-1</t>
  </si>
  <si>
    <t>นายอุดม</t>
  </si>
  <si>
    <t>อุดทะปา</t>
  </si>
  <si>
    <t>551752062015-2</t>
  </si>
  <si>
    <t>นายสุชาติ</t>
  </si>
  <si>
    <t>มาตรนอก</t>
  </si>
  <si>
    <t>2430</t>
  </si>
  <si>
    <t>551752062009-5</t>
  </si>
  <si>
    <t>นายเสกสรร</t>
  </si>
  <si>
    <t>เดชสูงเนิน</t>
  </si>
  <si>
    <t>551742022019-4</t>
  </si>
  <si>
    <t>นายมนัสวิน</t>
  </si>
  <si>
    <t>ลุนสอน</t>
  </si>
  <si>
    <t>551752062007-9</t>
  </si>
  <si>
    <t>พิมพ์สวรรค์</t>
  </si>
  <si>
    <t>551745031026-1</t>
  </si>
  <si>
    <t>โจ้พิมาย</t>
  </si>
  <si>
    <t>2431</t>
  </si>
  <si>
    <t>551745031009-7</t>
  </si>
  <si>
    <t>กลับสันเทียะ</t>
  </si>
  <si>
    <t>551745031010-5</t>
  </si>
  <si>
    <t>รานอก</t>
  </si>
  <si>
    <t>551745031024-6</t>
  </si>
  <si>
    <t>นายกรกช</t>
  </si>
  <si>
    <t>สวยกระโทก</t>
  </si>
  <si>
    <t>551721033028-6</t>
  </si>
  <si>
    <t>นายกิตติชัย</t>
  </si>
  <si>
    <t>จันชนะ</t>
  </si>
  <si>
    <t>2432</t>
  </si>
  <si>
    <t>551721033021-1</t>
  </si>
  <si>
    <t>ศรีนุเคราะห์</t>
  </si>
  <si>
    <t>551721033007-0</t>
  </si>
  <si>
    <t>นายวิวัฒน์</t>
  </si>
  <si>
    <t>รัตนชัย</t>
  </si>
  <si>
    <t>551721033003-9</t>
  </si>
  <si>
    <t>มุ่งอ้อมกลาง</t>
  </si>
  <si>
    <t>551733011029-5</t>
  </si>
  <si>
    <t>นายรุ่งเรือง</t>
  </si>
  <si>
    <t>อำพันธ์</t>
  </si>
  <si>
    <t>2433</t>
  </si>
  <si>
    <t>551744012001-0</t>
  </si>
  <si>
    <t>551744012025-9</t>
  </si>
  <si>
    <t>นายสุเทพ</t>
  </si>
  <si>
    <t>ยิ้มลำใย</t>
  </si>
  <si>
    <t>551731022034-6</t>
  </si>
  <si>
    <t>นายเฉลิมชัย</t>
  </si>
  <si>
    <t>แดงดอน</t>
  </si>
  <si>
    <t>551731022030-4</t>
  </si>
  <si>
    <t>อบอุ่น</t>
  </si>
  <si>
    <t>2434</t>
  </si>
  <si>
    <t>551761022030-1</t>
  </si>
  <si>
    <t>สืบกระแสร์</t>
  </si>
  <si>
    <t>551722022005-5</t>
  </si>
  <si>
    <t>นายมรุเดช</t>
  </si>
  <si>
    <t>มหาสิทธิ์</t>
  </si>
  <si>
    <t>551722022024-6</t>
  </si>
  <si>
    <t>นายพิศุทธิ์</t>
  </si>
  <si>
    <t>องค์จะโป๊ะ</t>
  </si>
  <si>
    <t>551721011010-0</t>
  </si>
  <si>
    <t>นายทิศากร</t>
  </si>
  <si>
    <t>วนสันเทียะ</t>
  </si>
  <si>
    <t>2435</t>
  </si>
  <si>
    <t>551721011027-4</t>
  </si>
  <si>
    <t>พลธรรม</t>
  </si>
  <si>
    <t>551721011019-1</t>
  </si>
  <si>
    <t>นาคนา</t>
  </si>
  <si>
    <t>551721011016-7</t>
  </si>
  <si>
    <t>นายสมฤทธิ์</t>
  </si>
  <si>
    <t>นวลขาว</t>
  </si>
  <si>
    <t>551734032001-7</t>
  </si>
  <si>
    <t>นายภูมิพิพัฒน์</t>
  </si>
  <si>
    <t>ชายทวีป</t>
  </si>
  <si>
    <t>2436</t>
  </si>
  <si>
    <t>551734032013-2</t>
  </si>
  <si>
    <t>บุญญานุสนธิ์</t>
  </si>
  <si>
    <t>นายสิทธิศักดิ์</t>
  </si>
  <si>
    <t>551741022021-2</t>
  </si>
  <si>
    <t>สุขนิล</t>
  </si>
  <si>
    <t>2501</t>
  </si>
  <si>
    <t>551741022016-2</t>
  </si>
  <si>
    <t>สูญกลาง</t>
  </si>
  <si>
    <t>551741022018-8</t>
  </si>
  <si>
    <t>เเสนบุญศิริ</t>
  </si>
  <si>
    <t>551741022006-3</t>
  </si>
  <si>
    <t>นายสุวัจน์</t>
  </si>
  <si>
    <t>แยกโคกสูง</t>
  </si>
  <si>
    <t>551745031005-5</t>
  </si>
  <si>
    <t>นายพงษ์พัฒน์</t>
  </si>
  <si>
    <t>ศิริวิโรจน์</t>
  </si>
  <si>
    <t>2502</t>
  </si>
  <si>
    <t>551745031012-1</t>
  </si>
  <si>
    <t>นายสุภกิจ</t>
  </si>
  <si>
    <t>จรจันทร์</t>
  </si>
  <si>
    <t>551745031028-7</t>
  </si>
  <si>
    <t>551732012030-4</t>
  </si>
  <si>
    <t>นายสุรกิตต์</t>
  </si>
  <si>
    <t>คุ้มกลาง</t>
  </si>
  <si>
    <t>2503</t>
  </si>
  <si>
    <t>551732012016-3</t>
  </si>
  <si>
    <t>นายยืนยง</t>
  </si>
  <si>
    <t>ชอบสวน</t>
  </si>
  <si>
    <t>551732012023-9</t>
  </si>
  <si>
    <t>นายพจน์พงศ์</t>
  </si>
  <si>
    <t>ศรีวิภาสถิตย์</t>
  </si>
  <si>
    <t>551734011013-7</t>
  </si>
  <si>
    <t>นายอนุวัฒน์</t>
  </si>
  <si>
    <t>บุญลือ</t>
  </si>
  <si>
    <t>2504</t>
  </si>
  <si>
    <t>551734011012-9</t>
  </si>
  <si>
    <t>ยอดคง</t>
  </si>
  <si>
    <t>551734011025-1</t>
  </si>
  <si>
    <t>นายสัตยา</t>
  </si>
  <si>
    <t>พัดไธสง</t>
  </si>
  <si>
    <t>551734011021-0</t>
  </si>
  <si>
    <t>นายพิชิต</t>
  </si>
  <si>
    <t>นอกไธสง</t>
  </si>
  <si>
    <t>551751011006-5</t>
  </si>
  <si>
    <t>นายศตวรรษ</t>
  </si>
  <si>
    <t>ไชยลังกา</t>
  </si>
  <si>
    <t>2505</t>
  </si>
  <si>
    <t>551751011010-7</t>
  </si>
  <si>
    <t>นายวรพงษ์</t>
  </si>
  <si>
    <t>เฮียงจันทึก</t>
  </si>
  <si>
    <t>551751011007-3</t>
  </si>
  <si>
    <t>วงศ์อนุ</t>
  </si>
  <si>
    <t>551751011015-6</t>
  </si>
  <si>
    <t>นายไกรสิทธิ์</t>
  </si>
  <si>
    <t>หลอดสว่าง</t>
  </si>
  <si>
    <t>551734043011-3</t>
  </si>
  <si>
    <t>นายอิทธิพร</t>
  </si>
  <si>
    <t>นกโยธิน</t>
  </si>
  <si>
    <t>2506</t>
  </si>
  <si>
    <t>551734043001-4</t>
  </si>
  <si>
    <t>นายบรรลือศักดิ์</t>
  </si>
  <si>
    <t>ปล้องยาง</t>
  </si>
  <si>
    <t>551734043028-7</t>
  </si>
  <si>
    <t>นายสมกิจ</t>
  </si>
  <si>
    <t>โสพันธ์</t>
  </si>
  <si>
    <t>551734032009-0</t>
  </si>
  <si>
    <t>นายเกียรติพงษ์</t>
  </si>
  <si>
    <t>จันทศร</t>
  </si>
  <si>
    <t>551733011024-6</t>
  </si>
  <si>
    <t>นายศิริพงศ์</t>
  </si>
  <si>
    <t>ศิริจันทร์เพ็ญ</t>
  </si>
  <si>
    <t>2507</t>
  </si>
  <si>
    <t>551733011015-4</t>
  </si>
  <si>
    <t>อ่อนก้านเหลือง</t>
  </si>
  <si>
    <t>541733023003-9</t>
  </si>
  <si>
    <t>นายรังสรรค์</t>
  </si>
  <si>
    <t>มุลทา</t>
  </si>
  <si>
    <t>551733011025-3</t>
  </si>
  <si>
    <t>พูนไธสง</t>
  </si>
  <si>
    <t>551741011014-0</t>
  </si>
  <si>
    <t>ถาดครบุรี</t>
  </si>
  <si>
    <t>2508</t>
  </si>
  <si>
    <t>551741011013-2</t>
  </si>
  <si>
    <t>นายฐิเทพ</t>
  </si>
  <si>
    <t>จันทร์หอม</t>
  </si>
  <si>
    <t>551741011011-6</t>
  </si>
  <si>
    <t>นายทักษ์ดนัย</t>
  </si>
  <si>
    <t>แก้วชู</t>
  </si>
  <si>
    <t>551741011005-8</t>
  </si>
  <si>
    <t>ใบโพธิ์</t>
  </si>
  <si>
    <t>551741022003-0</t>
  </si>
  <si>
    <t>2509</t>
  </si>
  <si>
    <t>551741022004-8</t>
  </si>
  <si>
    <t>นายธนาวุฒิ</t>
  </si>
  <si>
    <t>ครุฑสระน้อย</t>
  </si>
  <si>
    <t>551741022019-6</t>
  </si>
  <si>
    <t>งามละม่อม</t>
  </si>
  <si>
    <t>551741022017-0</t>
  </si>
  <si>
    <t>551751021011-3</t>
  </si>
  <si>
    <t>นายอภิวัฒน์</t>
  </si>
  <si>
    <t>ระหา</t>
  </si>
  <si>
    <t>2510</t>
  </si>
  <si>
    <t>551751021026-1</t>
  </si>
  <si>
    <t>นายอากิต</t>
  </si>
  <si>
    <t>ช่องกลาง</t>
  </si>
  <si>
    <t>551743012005-3</t>
  </si>
  <si>
    <t>นายบุตรเดช</t>
  </si>
  <si>
    <t>ช้อยจอหอ</t>
  </si>
  <si>
    <t>2511</t>
  </si>
  <si>
    <t>551743012010-3</t>
  </si>
  <si>
    <t>นายอัษฎาวุฒิ</t>
  </si>
  <si>
    <t>อินทร์นอก</t>
  </si>
  <si>
    <t>551743012013-7</t>
  </si>
  <si>
    <t>แสงรุ่งสว่าง</t>
  </si>
  <si>
    <t>551743012002-0</t>
  </si>
  <si>
    <t>นายสุภาพ</t>
  </si>
  <si>
    <t>พลเมือง</t>
  </si>
  <si>
    <t>2512</t>
  </si>
  <si>
    <t>551731023006-3</t>
  </si>
  <si>
    <t>ดุนขุนทด</t>
  </si>
  <si>
    <t>551731023021-2</t>
  </si>
  <si>
    <t>นายอัศวเชษฐ์</t>
  </si>
  <si>
    <t>เจริญใหญ่</t>
  </si>
  <si>
    <t>551743012021-0</t>
  </si>
  <si>
    <t>องอาจ</t>
  </si>
  <si>
    <t>551734032004-1</t>
  </si>
  <si>
    <t>นายขจรศักดิ์</t>
  </si>
  <si>
    <t>ใจเย็น</t>
  </si>
  <si>
    <t>2513</t>
  </si>
  <si>
    <t>551734032005-8</t>
  </si>
  <si>
    <t>นายภัทรพงษ์</t>
  </si>
  <si>
    <t>ประมาพันธ์</t>
  </si>
  <si>
    <t>551734032023-1</t>
  </si>
  <si>
    <t>นายบุญเหนือ</t>
  </si>
  <si>
    <t>เย็นใจ</t>
  </si>
  <si>
    <t>551734032015-7</t>
  </si>
  <si>
    <t>นายสุเชษฐ์</t>
  </si>
  <si>
    <t>เจริญดี</t>
  </si>
  <si>
    <t>551733022016-9</t>
  </si>
  <si>
    <t>นายภูสิทธิ</t>
  </si>
  <si>
    <t>ดุลสันเทียะ</t>
  </si>
  <si>
    <t>2514</t>
  </si>
  <si>
    <t>551733022023-5</t>
  </si>
  <si>
    <t>นายกิตติ</t>
  </si>
  <si>
    <t>ถีสูงเนิน</t>
  </si>
  <si>
    <t>551733022012-8</t>
  </si>
  <si>
    <t>นายภาณุวัฒน์</t>
  </si>
  <si>
    <t>แสงเลิศ</t>
  </si>
  <si>
    <t>551733022031-8</t>
  </si>
  <si>
    <t>ไตรสรณาคมน์</t>
  </si>
  <si>
    <t>551733011008-9</t>
  </si>
  <si>
    <t>เซียวสกุล</t>
  </si>
  <si>
    <t>2515</t>
  </si>
  <si>
    <t>551733011021-2</t>
  </si>
  <si>
    <t>นายอุกฤษฏ์</t>
  </si>
  <si>
    <t>ยอดโยธี</t>
  </si>
  <si>
    <t>551733011022-0</t>
  </si>
  <si>
    <t>นายวัฒนพงษ์</t>
  </si>
  <si>
    <t>ถาวระ</t>
  </si>
  <si>
    <t>551733011034-5</t>
  </si>
  <si>
    <t>นายอนันต์</t>
  </si>
  <si>
    <t>เมียนขุนทด</t>
  </si>
  <si>
    <t>551751042002-7</t>
  </si>
  <si>
    <t>นายพรประทาน</t>
  </si>
  <si>
    <t>เข็มมะลัง</t>
  </si>
  <si>
    <t>2516</t>
  </si>
  <si>
    <t>551731022003-1</t>
  </si>
  <si>
    <t>จุลทัศน์</t>
  </si>
  <si>
    <t>2517</t>
  </si>
  <si>
    <t>551751042030-8</t>
  </si>
  <si>
    <t>นายภัทรกร</t>
  </si>
  <si>
    <t>พิมเสนครบุรี</t>
  </si>
  <si>
    <t>551532022029-8</t>
  </si>
  <si>
    <t>นายชยุตม์</t>
  </si>
  <si>
    <t>กุศล</t>
  </si>
  <si>
    <t>551751021003-0</t>
  </si>
  <si>
    <t>นายอานุภาพ</t>
  </si>
  <si>
    <t>2518</t>
  </si>
  <si>
    <t>551751021005-5</t>
  </si>
  <si>
    <t>เดชขุนทด</t>
  </si>
  <si>
    <t>551751021015-4</t>
  </si>
  <si>
    <t>นายประพันธ์</t>
  </si>
  <si>
    <t>ลาจำนงค์</t>
  </si>
  <si>
    <t>551751021024-6</t>
  </si>
  <si>
    <t>ดวงจะโปะ</t>
  </si>
  <si>
    <t>551741023002-1</t>
  </si>
  <si>
    <t>นายพลวัตร</t>
  </si>
  <si>
    <t>อินสุวรรณ</t>
  </si>
  <si>
    <t>2519</t>
  </si>
  <si>
    <t>551531023007-5</t>
  </si>
  <si>
    <t>นายชลพรรษ</t>
  </si>
  <si>
    <t>จงสูงเนิน</t>
  </si>
  <si>
    <t>551741011015-7</t>
  </si>
  <si>
    <t>นายธีรยุทธ</t>
  </si>
  <si>
    <t>ซาเสน</t>
  </si>
  <si>
    <t>2521</t>
  </si>
  <si>
    <t>551742011004-9</t>
  </si>
  <si>
    <t>ศรีโพธิ์</t>
  </si>
  <si>
    <t>551741011019-9</t>
  </si>
  <si>
    <t>พันธ์สวัสดิ์</t>
  </si>
  <si>
    <t>551741011022-3</t>
  </si>
  <si>
    <t>ชามกระโทก</t>
  </si>
  <si>
    <t>551741011007-4</t>
  </si>
  <si>
    <t>นายวัชรา</t>
  </si>
  <si>
    <t>มะกา</t>
  </si>
  <si>
    <t>2522</t>
  </si>
  <si>
    <t>551752062011-1</t>
  </si>
  <si>
    <t>นายสมพงษ์</t>
  </si>
  <si>
    <t>หินสูงเนิน</t>
  </si>
  <si>
    <t>551722022023-8</t>
  </si>
  <si>
    <t>นายกษิดินทร์</t>
  </si>
  <si>
    <t>บุญโกมุด</t>
  </si>
  <si>
    <t>551752062010-3</t>
  </si>
  <si>
    <t>โสพัฒน์</t>
  </si>
  <si>
    <t>551734043007-1</t>
  </si>
  <si>
    <t>นายฤทธิชัย</t>
  </si>
  <si>
    <t>โคษาราช</t>
  </si>
  <si>
    <t>2523</t>
  </si>
  <si>
    <t>551734043033-7</t>
  </si>
  <si>
    <t>นายธิชากร</t>
  </si>
  <si>
    <t>แสนก๋า</t>
  </si>
  <si>
    <t>551734043002-2</t>
  </si>
  <si>
    <t>นายสุทธิพันธ์</t>
  </si>
  <si>
    <t>นวลจันทร์</t>
  </si>
  <si>
    <t>551734032011-6</t>
  </si>
  <si>
    <t>นายพิทยา</t>
  </si>
  <si>
    <t>ปินตาจันทร์</t>
  </si>
  <si>
    <t>551734011028-5</t>
  </si>
  <si>
    <t>นายเอนก</t>
  </si>
  <si>
    <t>หอกลาง</t>
  </si>
  <si>
    <t>2524</t>
  </si>
  <si>
    <t>551734011016-0</t>
  </si>
  <si>
    <t>นายพีระฉัตร</t>
  </si>
  <si>
    <t>มาลาคำ</t>
  </si>
  <si>
    <t>551734011001-2</t>
  </si>
  <si>
    <t>นายวริทธิ์นันท์</t>
  </si>
  <si>
    <t>เพชรเด็ด</t>
  </si>
  <si>
    <t>551734011029-3</t>
  </si>
  <si>
    <t>นายยุทธศักดิ์</t>
  </si>
  <si>
    <t>มะโน</t>
  </si>
  <si>
    <t>551731023023-8</t>
  </si>
  <si>
    <t>ชะเทียนรัมย์</t>
  </si>
  <si>
    <t>2525</t>
  </si>
  <si>
    <t>551731023030-3</t>
  </si>
  <si>
    <t>ศรคำรณ</t>
  </si>
  <si>
    <t>551731023017-0</t>
  </si>
  <si>
    <t>นายจำรัส</t>
  </si>
  <si>
    <t>โฉมรัมย์</t>
  </si>
  <si>
    <t>551731023022-0</t>
  </si>
  <si>
    <t>นายสมเกียรติ</t>
  </si>
  <si>
    <t>กิจโสภา</t>
  </si>
  <si>
    <t>551751021019-6</t>
  </si>
  <si>
    <t>อยู่ยืน</t>
  </si>
  <si>
    <t>2526</t>
  </si>
  <si>
    <t>551751021016-2</t>
  </si>
  <si>
    <t>นายจุฬา</t>
  </si>
  <si>
    <t>คงชุม</t>
  </si>
  <si>
    <t>551751021020-4</t>
  </si>
  <si>
    <t>นายจีรยุทธ์</t>
  </si>
  <si>
    <t>ไม้พิมาย</t>
  </si>
  <si>
    <t>551741022010-5</t>
  </si>
  <si>
    <t>นายพีรพล</t>
  </si>
  <si>
    <t>2527</t>
  </si>
  <si>
    <t>551741022002-2</t>
  </si>
  <si>
    <t>551741023010-4</t>
  </si>
  <si>
    <t>นายสุกฤษฏิ์</t>
  </si>
  <si>
    <t>รัตนภู</t>
  </si>
  <si>
    <t>551733011002-2</t>
  </si>
  <si>
    <t>2528</t>
  </si>
  <si>
    <t>551733011016-2</t>
  </si>
  <si>
    <t>อึ้งวิบูรณ์วงศ์</t>
  </si>
  <si>
    <t>551733011018-8</t>
  </si>
  <si>
    <t>นายอัครวินทร์</t>
  </si>
  <si>
    <t>551761022023-6</t>
  </si>
  <si>
    <t>นายวรพงศ์</t>
  </si>
  <si>
    <t>กิติวรรณ</t>
  </si>
  <si>
    <t>2529</t>
  </si>
  <si>
    <t>541761022034-6</t>
  </si>
  <si>
    <t>นายสุริยะ</t>
  </si>
  <si>
    <t>อัศวินโกวิท</t>
  </si>
  <si>
    <t>551761022019-4</t>
  </si>
  <si>
    <t>ทรัพย์ไพศาลสิน</t>
  </si>
  <si>
    <t>551761022033-5</t>
  </si>
  <si>
    <t>สุขสูงเนิน</t>
  </si>
  <si>
    <t>551722022019-6</t>
  </si>
  <si>
    <t>อาศัยนา</t>
  </si>
  <si>
    <t>2530</t>
  </si>
  <si>
    <t>551722022021-2</t>
  </si>
  <si>
    <t>นายกฤตพล</t>
  </si>
  <si>
    <t>สุจริตตานันท์</t>
  </si>
  <si>
    <t>551722022003-0</t>
  </si>
  <si>
    <t>เหลืองกระโทก</t>
  </si>
  <si>
    <t>551722022002-2</t>
  </si>
  <si>
    <t>ธนาคุณ</t>
  </si>
  <si>
    <t>551731022020-5</t>
  </si>
  <si>
    <t>นายกมลภพ</t>
  </si>
  <si>
    <t>สุทธิธรรม</t>
  </si>
  <si>
    <t>2531</t>
  </si>
  <si>
    <t>551731022005-6</t>
  </si>
  <si>
    <t>นายประวิทย์</t>
  </si>
  <si>
    <t>บนกระโทก</t>
  </si>
  <si>
    <t>551731022008-0</t>
  </si>
  <si>
    <t>จิตตกลาง</t>
  </si>
  <si>
    <t>551731022004-9</t>
  </si>
  <si>
    <t>ทองใจสด</t>
  </si>
  <si>
    <t>551531011001-2</t>
  </si>
  <si>
    <t>นายนัฎชาภรณ์</t>
  </si>
  <si>
    <t>บุญกอง</t>
  </si>
  <si>
    <t>2532</t>
  </si>
  <si>
    <t>531721011013-9</t>
  </si>
  <si>
    <t>ทิศกลาง</t>
  </si>
  <si>
    <t>541521011073-5</t>
  </si>
  <si>
    <t>นายชินะวัต</t>
  </si>
  <si>
    <t>อินโสม</t>
  </si>
  <si>
    <t>551741023017-9</t>
  </si>
  <si>
    <t>ชัยศรี</t>
  </si>
  <si>
    <t>2533</t>
  </si>
  <si>
    <t>551741023015-3</t>
  </si>
  <si>
    <t>นายทองอินทร์</t>
  </si>
  <si>
    <t>สวนเพชร</t>
  </si>
  <si>
    <t>551732012002-3</t>
  </si>
  <si>
    <t>นายปฐวี</t>
  </si>
  <si>
    <t>โรจน์พุทธิกุล</t>
  </si>
  <si>
    <t>2534</t>
  </si>
  <si>
    <t>551732012005-6</t>
  </si>
  <si>
    <t>นายพีระ</t>
  </si>
  <si>
    <t>พรมงูเหลือม</t>
  </si>
  <si>
    <t>551732012014-8</t>
  </si>
  <si>
    <t>นายเกียรติศักดิ์</t>
  </si>
  <si>
    <t>คนึงรัมย์</t>
  </si>
  <si>
    <t>551752062016-0</t>
  </si>
  <si>
    <t>2535</t>
  </si>
  <si>
    <t>551752062005-3</t>
  </si>
  <si>
    <t>สร้างกลาง</t>
  </si>
  <si>
    <t>551751042003-5</t>
  </si>
  <si>
    <t>นายนันทพัทธ์</t>
  </si>
  <si>
    <t>สันติชูวงศ์</t>
  </si>
  <si>
    <t>551751042022-5</t>
  </si>
  <si>
    <t>นายชุติพนธ์</t>
  </si>
  <si>
    <t>เภสัชชา</t>
  </si>
  <si>
    <t>551746012018-9</t>
  </si>
  <si>
    <t>ทัพหงษา</t>
  </si>
  <si>
    <t>2536</t>
  </si>
  <si>
    <t>551746012007-2</t>
  </si>
  <si>
    <t>นายธิติวัฒน์</t>
  </si>
  <si>
    <t>มิตตะเจริญวงศ์</t>
  </si>
  <si>
    <t>551746012009-8</t>
  </si>
  <si>
    <t>นายอติจิต</t>
  </si>
  <si>
    <t>พิมวรรณ์</t>
  </si>
  <si>
    <t>551746012028-8</t>
  </si>
  <si>
    <t>ยอดด่านกลาง</t>
  </si>
  <si>
    <t>551731023020-4</t>
  </si>
  <si>
    <t>นายคณาวุฒิ</t>
  </si>
  <si>
    <t>ทองฮีง</t>
  </si>
  <si>
    <t>2601</t>
  </si>
  <si>
    <t>551731023013-9</t>
  </si>
  <si>
    <t>ต่อคุณ</t>
  </si>
  <si>
    <t>551731023018-8</t>
  </si>
  <si>
    <t>นายภุชงค์</t>
  </si>
  <si>
    <t>แย้มเพ็ชร</t>
  </si>
  <si>
    <t>551762012024-4</t>
  </si>
  <si>
    <t>นายพชรเดช</t>
  </si>
  <si>
    <t>สิงห์คำ</t>
  </si>
  <si>
    <t>2602</t>
  </si>
  <si>
    <t>551762012026-9</t>
  </si>
  <si>
    <t>แววโคกสูง</t>
  </si>
  <si>
    <t>551762012021-0</t>
  </si>
  <si>
    <t>นายจักรพงศ์</t>
  </si>
  <si>
    <t>ดวนสันเทียะ</t>
  </si>
  <si>
    <t>551764012026-5</t>
  </si>
  <si>
    <t>นายชัชรินทร์</t>
  </si>
  <si>
    <t>มณีกรรณ์</t>
  </si>
  <si>
    <t>531732012011-9</t>
  </si>
  <si>
    <t>นายธนาธิป</t>
  </si>
  <si>
    <t>ห้ากระโทก</t>
  </si>
  <si>
    <t>2603</t>
  </si>
  <si>
    <t>531732012013-5</t>
  </si>
  <si>
    <t>นายสุทธิพงษ์</t>
  </si>
  <si>
    <t>คิดถูก</t>
  </si>
  <si>
    <t>541732013032-2</t>
  </si>
  <si>
    <t>นายตรัส</t>
  </si>
  <si>
    <t>สิริโยธิน</t>
  </si>
  <si>
    <t>551751031007-9</t>
  </si>
  <si>
    <t>อินทรโชติ</t>
  </si>
  <si>
    <t>2604</t>
  </si>
  <si>
    <t>551731023031-1</t>
  </si>
  <si>
    <t>น้ำทิพย์ชลธร</t>
  </si>
  <si>
    <t>551751031018-6</t>
  </si>
  <si>
    <t>นายดณุพงศ์</t>
  </si>
  <si>
    <t>เกิดเรียน</t>
  </si>
  <si>
    <t>551751031029-3</t>
  </si>
  <si>
    <t>นายสาวิทย์</t>
  </si>
  <si>
    <t>ดวงกระโทก</t>
  </si>
  <si>
    <t>551741022009-7</t>
  </si>
  <si>
    <t>พวงมาลัย</t>
  </si>
  <si>
    <t>2605</t>
  </si>
  <si>
    <t>551741022015-4</t>
  </si>
  <si>
    <t>นายทัตพงษ์</t>
  </si>
  <si>
    <t>ชูพรรคพานิช</t>
  </si>
  <si>
    <t>551751031021-0</t>
  </si>
  <si>
    <t>นายอภิชิต</t>
  </si>
  <si>
    <t>เฉยชาวนา</t>
  </si>
  <si>
    <t>551741022013-9</t>
  </si>
  <si>
    <t>นายพงศธร</t>
  </si>
  <si>
    <t>จงกลรัตน์</t>
  </si>
  <si>
    <t>551531011004-6</t>
  </si>
  <si>
    <t>นายรชต</t>
  </si>
  <si>
    <t>ไชยสิทธิ์</t>
  </si>
  <si>
    <t>2606</t>
  </si>
  <si>
    <t>551531011022-8</t>
  </si>
  <si>
    <t>นายรูทเบียร์</t>
  </si>
  <si>
    <t>เทียมขุนทด</t>
  </si>
  <si>
    <t>551531011209-1</t>
  </si>
  <si>
    <t>นายสิริวัฒน์</t>
  </si>
  <si>
    <t>พิลาแดง</t>
  </si>
  <si>
    <t>551531011210-9</t>
  </si>
  <si>
    <t>นายณัฐิพงศ์</t>
  </si>
  <si>
    <t>อารมรัมย์</t>
  </si>
  <si>
    <t>551721032032-9</t>
  </si>
  <si>
    <t>นายตุลธร</t>
  </si>
  <si>
    <t>ภัทรกุลเชฏฐ</t>
  </si>
  <si>
    <t>2607</t>
  </si>
  <si>
    <t>551746012023-9</t>
  </si>
  <si>
    <t>นายสุรพล</t>
  </si>
  <si>
    <t>ไกรชนะ</t>
  </si>
  <si>
    <t>551721033032-8</t>
  </si>
  <si>
    <t>มีโชคดี</t>
  </si>
  <si>
    <t>551532022012-4</t>
  </si>
  <si>
    <t>นายญาณวุฒิ</t>
  </si>
  <si>
    <t>เวกสรณสุธี</t>
  </si>
  <si>
    <t>2608</t>
  </si>
  <si>
    <t>551532022011-6</t>
  </si>
  <si>
    <t>ไพโรจน์อุดมกิจ</t>
  </si>
  <si>
    <t>551531023022-4</t>
  </si>
  <si>
    <t>นายธิชาวิชญ์</t>
  </si>
  <si>
    <t>ชูสกุล</t>
  </si>
  <si>
    <t>551531023008-3</t>
  </si>
  <si>
    <t>คะสูงเนิน</t>
  </si>
  <si>
    <t>551751042025-8</t>
  </si>
  <si>
    <t>นายพิษณุวัฒน์</t>
  </si>
  <si>
    <t>เสนนอก</t>
  </si>
  <si>
    <t>2609</t>
  </si>
  <si>
    <t>551751042012-6</t>
  </si>
  <si>
    <t>นายมนัสวี</t>
  </si>
  <si>
    <t>เถยสูงเนิน</t>
  </si>
  <si>
    <t>551751042006-8</t>
  </si>
  <si>
    <t>นายรพิพันธ์</t>
  </si>
  <si>
    <t>แก้วกลาง</t>
  </si>
  <si>
    <t>551751042024-1</t>
  </si>
  <si>
    <t>ทิพย์ประเสริฐ</t>
  </si>
  <si>
    <t>551741011002-5</t>
  </si>
  <si>
    <t>นายสุรัตน์</t>
  </si>
  <si>
    <t>ป้อมมี</t>
  </si>
  <si>
    <t>2610</t>
  </si>
  <si>
    <t>551741011017-3</t>
  </si>
  <si>
    <t>ดุมกลาง</t>
  </si>
  <si>
    <t>551741011018-1</t>
  </si>
  <si>
    <t>วุฒิพันธ์</t>
  </si>
  <si>
    <t>551741023029-4</t>
  </si>
  <si>
    <t>ทองวิเศษ</t>
  </si>
  <si>
    <t>551532032067-7</t>
  </si>
  <si>
    <t>ยิ้มขาวผ่อง</t>
  </si>
  <si>
    <t>2611</t>
  </si>
  <si>
    <t>551532032056-9</t>
  </si>
  <si>
    <t>นายนฤเบศ</t>
  </si>
  <si>
    <t>ไพบูลย์ธนสมบัติ</t>
  </si>
  <si>
    <t>551532032044-5</t>
  </si>
  <si>
    <t>ชั้นศิริ</t>
  </si>
  <si>
    <t>551532022044-7</t>
  </si>
  <si>
    <t>นายกำพล</t>
  </si>
  <si>
    <t>บุบผา</t>
  </si>
  <si>
    <t>551734032028-0</t>
  </si>
  <si>
    <t>วิระยิ้ม</t>
  </si>
  <si>
    <t>2612</t>
  </si>
  <si>
    <t>551734032025-6</t>
  </si>
  <si>
    <t>นายภัคพล</t>
  </si>
  <si>
    <t>นราเทียม</t>
  </si>
  <si>
    <t>551734032020-7</t>
  </si>
  <si>
    <t>551721032006-3</t>
  </si>
  <si>
    <t>พิณศิริ</t>
  </si>
  <si>
    <t>2613</t>
  </si>
  <si>
    <t>551733011023-8</t>
  </si>
  <si>
    <t>นายพีรณัฐ</t>
  </si>
  <si>
    <t>ศรีสนิท</t>
  </si>
  <si>
    <t>551762012025-1</t>
  </si>
  <si>
    <t>ทองธีระ</t>
  </si>
  <si>
    <t>551721032015-4</t>
  </si>
  <si>
    <t>สุขสิงห์</t>
  </si>
  <si>
    <t>551531022041-5</t>
  </si>
  <si>
    <t>กรวาทิน</t>
  </si>
  <si>
    <t>2614</t>
  </si>
  <si>
    <t>551531023018-2</t>
  </si>
  <si>
    <t>นายนรชัย</t>
  </si>
  <si>
    <t>ตามชู</t>
  </si>
  <si>
    <t>551531023014-1</t>
  </si>
  <si>
    <t>นายจักรพันธุ์</t>
  </si>
  <si>
    <t>กีรติเดชะไพศาล</t>
  </si>
  <si>
    <t>551531023009-1</t>
  </si>
  <si>
    <t>เจริญแก่นทราย</t>
  </si>
  <si>
    <t>551731022028-8</t>
  </si>
  <si>
    <t>จุติตรี</t>
  </si>
  <si>
    <t>2615</t>
  </si>
  <si>
    <t>551731022029-6</t>
  </si>
  <si>
    <t>นายชนานนท์</t>
  </si>
  <si>
    <t>เดชสันติภักดี</t>
  </si>
  <si>
    <t>551731022033-8</t>
  </si>
  <si>
    <t>นายศุภฤกษ์</t>
  </si>
  <si>
    <t>ขุนนาม</t>
  </si>
  <si>
    <t>551741022001-4</t>
  </si>
  <si>
    <t>อ่อนวันนา</t>
  </si>
  <si>
    <t>2616</t>
  </si>
  <si>
    <t>551742022008-7</t>
  </si>
  <si>
    <t>นายเรวัฒน์</t>
  </si>
  <si>
    <t>แสงโชติ</t>
  </si>
  <si>
    <t>551752062006-1</t>
  </si>
  <si>
    <t>นายวิชาญ</t>
  </si>
  <si>
    <t>พงษา</t>
  </si>
  <si>
    <t>551752012030-2</t>
  </si>
  <si>
    <t>นายอรัญ</t>
  </si>
  <si>
    <t>เซียงหนู</t>
  </si>
  <si>
    <t>551742011012-2</t>
  </si>
  <si>
    <t>แสดกระโทก</t>
  </si>
  <si>
    <t>2617</t>
  </si>
  <si>
    <t>551742011016-3</t>
  </si>
  <si>
    <t>นายนายนฤเบศ</t>
  </si>
  <si>
    <t>โกนพิมาย</t>
  </si>
  <si>
    <t>551742011014-8</t>
  </si>
  <si>
    <t>นายจักรกฤษณ์</t>
  </si>
  <si>
    <t>ยศกระโทก</t>
  </si>
  <si>
    <t>551742023012-8</t>
  </si>
  <si>
    <t>นายปริยากร</t>
  </si>
  <si>
    <t>ศรีอ่อน</t>
  </si>
  <si>
    <t>551741023025-2</t>
  </si>
  <si>
    <t>นายตรีภพ</t>
  </si>
  <si>
    <t>มะณีกลม</t>
  </si>
  <si>
    <t>2618</t>
  </si>
  <si>
    <t>551741023007-0</t>
  </si>
  <si>
    <t>นายนิติพงศ์</t>
  </si>
  <si>
    <t>ดีบ้านโสก</t>
  </si>
  <si>
    <t>551741023020-3</t>
  </si>
  <si>
    <t>นายปรเมษฐ</t>
  </si>
  <si>
    <t>สองใหม่</t>
  </si>
  <si>
    <t>551741022012-1</t>
  </si>
  <si>
    <t>นายกิตตินันท์</t>
  </si>
  <si>
    <t>บุญผุด</t>
  </si>
  <si>
    <t>551741022025-3</t>
  </si>
  <si>
    <t>นายคมสัน</t>
  </si>
  <si>
    <t>แซ่ลี้</t>
  </si>
  <si>
    <t>2619</t>
  </si>
  <si>
    <t>551741022024-6</t>
  </si>
  <si>
    <t>อนุเดช</t>
  </si>
  <si>
    <t>551745031007-1</t>
  </si>
  <si>
    <t>ชัยรัตนพิพัฒน์</t>
  </si>
  <si>
    <t>551734032014-0</t>
  </si>
  <si>
    <t>นายอภิชาต</t>
  </si>
  <si>
    <t>นาวายนต์</t>
  </si>
  <si>
    <t>2620</t>
  </si>
  <si>
    <t>551742022023-6</t>
  </si>
  <si>
    <t>นายธนาวัฒน์</t>
  </si>
  <si>
    <t>วิวัชสิทธิ์</t>
  </si>
  <si>
    <t>551734032017-3</t>
  </si>
  <si>
    <t>สิริสร้อยสกุล</t>
  </si>
  <si>
    <t>551734032002-5</t>
  </si>
  <si>
    <t>นายธีระพัฒน์</t>
  </si>
  <si>
    <t>ยินดี</t>
  </si>
  <si>
    <t>551531022032-4</t>
  </si>
  <si>
    <t>เงินโคกกรวด</t>
  </si>
  <si>
    <t>2621</t>
  </si>
  <si>
    <t>551531022020-9</t>
  </si>
  <si>
    <t>นายประกาศิต</t>
  </si>
  <si>
    <t>วงศ์พลูทอง</t>
  </si>
  <si>
    <t>551531022017-5</t>
  </si>
  <si>
    <t>นายพิชย</t>
  </si>
  <si>
    <t>เนียมสูงเนิน</t>
  </si>
  <si>
    <t>551521022026-7</t>
  </si>
  <si>
    <t>นายฤทธิเดช</t>
  </si>
  <si>
    <t>521764012013-0</t>
  </si>
  <si>
    <t>นายปุริมพัฒน์</t>
  </si>
  <si>
    <t>อ่อนละม้าย</t>
  </si>
  <si>
    <t>2622</t>
  </si>
  <si>
    <t>551761022021-0</t>
  </si>
  <si>
    <t>นายพันธกานต์</t>
  </si>
  <si>
    <t>สูญสันเทียะ</t>
  </si>
  <si>
    <t>551764012015-8</t>
  </si>
  <si>
    <t>แก้วตำแย</t>
  </si>
  <si>
    <t>551764012018-2</t>
  </si>
  <si>
    <t>นายเดชฤทธิ์</t>
  </si>
  <si>
    <t>แก้วแสน</t>
  </si>
  <si>
    <t>551742011013-0</t>
  </si>
  <si>
    <t>มุ่งเมืองกลาง</t>
  </si>
  <si>
    <t>2623</t>
  </si>
  <si>
    <t>551523022015-6</t>
  </si>
  <si>
    <t>พบขุนทด</t>
  </si>
  <si>
    <t>551523022038-8</t>
  </si>
  <si>
    <t>นายสามารถ</t>
  </si>
  <si>
    <t>นิจจอหอ</t>
  </si>
  <si>
    <t>551734043024-6</t>
  </si>
  <si>
    <t>นายอุทิศ</t>
  </si>
  <si>
    <t>เรืองกระโทก</t>
  </si>
  <si>
    <t>551521011229-0</t>
  </si>
  <si>
    <t>นายฐิติวัชร</t>
  </si>
  <si>
    <t>พามา</t>
  </si>
  <si>
    <t>2624</t>
  </si>
  <si>
    <t>551721033033-6</t>
  </si>
  <si>
    <t>นายอัฐ</t>
  </si>
  <si>
    <t>โรจนกุล</t>
  </si>
  <si>
    <t>2625</t>
  </si>
  <si>
    <t>551721032023-8</t>
  </si>
  <si>
    <t>ทักษานันท์</t>
  </si>
  <si>
    <t>551721032017-0</t>
  </si>
  <si>
    <t>ครอสูงเนิน</t>
  </si>
  <si>
    <t>551721033027-8</t>
  </si>
  <si>
    <t>551751011017-2</t>
  </si>
  <si>
    <t>ยอดน้ำ</t>
  </si>
  <si>
    <t>2626</t>
  </si>
  <si>
    <t>551751011018-0</t>
  </si>
  <si>
    <t>แสนปราง</t>
  </si>
  <si>
    <t>551751042031-6</t>
  </si>
  <si>
    <t>551733023034-1</t>
  </si>
  <si>
    <t>นายกิตติคุณ</t>
  </si>
  <si>
    <t>พูดเพราะ</t>
  </si>
  <si>
    <t>2627</t>
  </si>
  <si>
    <t>551733023009-3</t>
  </si>
  <si>
    <t>แสนพลกรัง</t>
  </si>
  <si>
    <t>551732013015-4</t>
  </si>
  <si>
    <t>นายศุภเชษฐ์</t>
  </si>
  <si>
    <t>รักษา</t>
  </si>
  <si>
    <t>2628</t>
  </si>
  <si>
    <t>551732013028-7</t>
  </si>
  <si>
    <t>นายวรวุฒิ</t>
  </si>
  <si>
    <t>ทองจันทร์</t>
  </si>
  <si>
    <t>551732013025-3</t>
  </si>
  <si>
    <t>นายอิทธิชัย</t>
  </si>
  <si>
    <t>กาวินเครือ</t>
  </si>
  <si>
    <t>551732013035-2</t>
  </si>
  <si>
    <t>551734011031-9</t>
  </si>
  <si>
    <t>นายวสุ</t>
  </si>
  <si>
    <t>ถาวรวัตต์</t>
  </si>
  <si>
    <t>2629</t>
  </si>
  <si>
    <t>551734011032-7</t>
  </si>
  <si>
    <t>นามเงิน</t>
  </si>
  <si>
    <t>551733023423-6</t>
  </si>
  <si>
    <t>ทองนุ่ม</t>
  </si>
  <si>
    <t>551733023033-3</t>
  </si>
  <si>
    <t>นายอมรเทพ</t>
  </si>
  <si>
    <t>ง้วนสูงเนิน</t>
  </si>
  <si>
    <t>551742023019-3</t>
  </si>
  <si>
    <t>นายพิพัฒน์</t>
  </si>
  <si>
    <t>โสปัญญาริย์</t>
  </si>
  <si>
    <t>2630</t>
  </si>
  <si>
    <t>551742023020-1</t>
  </si>
  <si>
    <t>นายพันธ์ศักดิ์</t>
  </si>
  <si>
    <t>คร้าวหาญ</t>
  </si>
  <si>
    <t>551742023011-0</t>
  </si>
  <si>
    <t>เดชมะเริง</t>
  </si>
  <si>
    <t>551721032016-2</t>
  </si>
  <si>
    <t>นายวิศรุต</t>
  </si>
  <si>
    <t>โตจันทึก</t>
  </si>
  <si>
    <t>2631</t>
  </si>
  <si>
    <t>551734032003-3</t>
  </si>
  <si>
    <t>นายศุภโชค</t>
  </si>
  <si>
    <t>บัวโคกสูง</t>
  </si>
  <si>
    <t>551732013021-2</t>
  </si>
  <si>
    <t>สุพัตร์</t>
  </si>
  <si>
    <t>551523022027-1</t>
  </si>
  <si>
    <t>นายภาณุพันธ์</t>
  </si>
  <si>
    <t>บุญแดง</t>
  </si>
  <si>
    <t>2632</t>
  </si>
  <si>
    <t>551523022023-0</t>
  </si>
  <si>
    <t>กระจายพะเนา</t>
  </si>
  <si>
    <t>551523022022-2</t>
  </si>
  <si>
    <t>นายศิวะเวท</t>
  </si>
  <si>
    <t>ธรรมโหร</t>
  </si>
  <si>
    <t>551741022005-5</t>
  </si>
  <si>
    <t>นายเปรมชัย</t>
  </si>
  <si>
    <t>อดิเรกลาภ</t>
  </si>
  <si>
    <t>2633</t>
  </si>
  <si>
    <t>551741022008-9</t>
  </si>
  <si>
    <t>นายยุทธภูมิ</t>
  </si>
  <si>
    <t>หนูจิตต์</t>
  </si>
  <si>
    <t>551741022007-1</t>
  </si>
  <si>
    <t>บุราณรมย์</t>
  </si>
  <si>
    <t>551742022027-7</t>
  </si>
  <si>
    <t>นายกฤตวิทย์</t>
  </si>
  <si>
    <t>ดียิ่ง</t>
  </si>
  <si>
    <t>2634</t>
  </si>
  <si>
    <t>551734043035-2</t>
  </si>
  <si>
    <t>นายประยูร</t>
  </si>
  <si>
    <t>นุชิตภาพ</t>
  </si>
  <si>
    <t>551742023026-8</t>
  </si>
  <si>
    <t>นายกอบกิจ</t>
  </si>
  <si>
    <t>พนัสป่า</t>
  </si>
  <si>
    <t>551734011033-5</t>
  </si>
  <si>
    <t>นายภวัต</t>
  </si>
  <si>
    <t>พบที่พึ่ง</t>
  </si>
  <si>
    <t>551751011003-2</t>
  </si>
  <si>
    <t>นายวราธร</t>
  </si>
  <si>
    <t>ไชยสีหา</t>
  </si>
  <si>
    <t>2635</t>
  </si>
  <si>
    <t>551751011012-3</t>
  </si>
  <si>
    <t>นายวุฒิไกร</t>
  </si>
  <si>
    <t>ประกอบกิ่ง</t>
  </si>
  <si>
    <t>551751011008-1</t>
  </si>
  <si>
    <t>นายบรรจง</t>
  </si>
  <si>
    <t>จำปาวะดี</t>
  </si>
  <si>
    <t>531734032018-6</t>
  </si>
  <si>
    <t>ฉิวเฉิด</t>
  </si>
  <si>
    <t>2636</t>
  </si>
  <si>
    <t>551734032030-6</t>
  </si>
  <si>
    <t>นายอนุรักษ์</t>
  </si>
  <si>
    <t>เอื้อนกระโทก</t>
  </si>
  <si>
    <t>551826012006-4</t>
  </si>
  <si>
    <t>นายอภิชัย</t>
  </si>
  <si>
    <t>2701</t>
  </si>
  <si>
    <t>551826012019-7</t>
  </si>
  <si>
    <t>นายชัชวาลย์</t>
  </si>
  <si>
    <t>คัมภิรานนท์</t>
  </si>
  <si>
    <t>551826012009-8</t>
  </si>
  <si>
    <t>นายสหรัฐ</t>
  </si>
  <si>
    <t>ฉานสูงเนิน</t>
  </si>
  <si>
    <t>551826012014-8</t>
  </si>
  <si>
    <t>มิตรนอก</t>
  </si>
  <si>
    <t>551625022009-2</t>
  </si>
  <si>
    <t>นายสมพร</t>
  </si>
  <si>
    <t>วรรณขุนทด</t>
  </si>
  <si>
    <t>2702</t>
  </si>
  <si>
    <t>551625022022-5</t>
  </si>
  <si>
    <t>นายพิชยพงศ์</t>
  </si>
  <si>
    <t>แสงทองสกาว</t>
  </si>
  <si>
    <t>551632022003-1</t>
  </si>
  <si>
    <t>นายศรัณย์ธรรม</t>
  </si>
  <si>
    <t>เข็มนุช</t>
  </si>
  <si>
    <t>541825012021-8</t>
  </si>
  <si>
    <t>ดาวเรรัมย์</t>
  </si>
  <si>
    <t>551521033072-8</t>
  </si>
  <si>
    <t>นายกล้าณรงค์</t>
  </si>
  <si>
    <t>ลื่นกลาง</t>
  </si>
  <si>
    <t>2703</t>
  </si>
  <si>
    <t>551521011083-1</t>
  </si>
  <si>
    <t>นายธันยะ</t>
  </si>
  <si>
    <t>กองสิน</t>
  </si>
  <si>
    <t>551521011007-0</t>
  </si>
  <si>
    <t>นายปณนนท์</t>
  </si>
  <si>
    <t>แซ่เตียว</t>
  </si>
  <si>
    <t>551521011056-7</t>
  </si>
  <si>
    <t>นายอิทธิกร</t>
  </si>
  <si>
    <t>551826012011-4</t>
  </si>
  <si>
    <t>นายทรงวุฒิ</t>
  </si>
  <si>
    <t>สาแก้ว</t>
  </si>
  <si>
    <t>2704</t>
  </si>
  <si>
    <t>551826012007-2</t>
  </si>
  <si>
    <t>ไสยสัตย์</t>
  </si>
  <si>
    <t>551826012008-0</t>
  </si>
  <si>
    <t>นายยศกร</t>
  </si>
  <si>
    <t>ภูนิทาน</t>
  </si>
  <si>
    <t>551826012016-3</t>
  </si>
  <si>
    <t>นาคทะเล</t>
  </si>
  <si>
    <t>551761022034-3</t>
  </si>
  <si>
    <t>นายธนบรรณ</t>
  </si>
  <si>
    <t>ตรีสุวรรณ</t>
  </si>
  <si>
    <t>2705</t>
  </si>
  <si>
    <t>551531023046-3</t>
  </si>
  <si>
    <t>พรมเอี้ยง</t>
  </si>
  <si>
    <t>551523011004-3</t>
  </si>
  <si>
    <t>วัฒนศิริ</t>
  </si>
  <si>
    <t>551632022042-9</t>
  </si>
  <si>
    <t>นายภคพล</t>
  </si>
  <si>
    <t>ฉัตริยากุล</t>
  </si>
  <si>
    <t>2706</t>
  </si>
  <si>
    <t>551625072020-8</t>
  </si>
  <si>
    <t>ผ่องทอง</t>
  </si>
  <si>
    <t>551531011024-4</t>
  </si>
  <si>
    <t>นายนวพันธ์</t>
  </si>
  <si>
    <t>รังกระโทก</t>
  </si>
  <si>
    <t>541531011207-8</t>
  </si>
  <si>
    <t>นายคมเพชรกมล</t>
  </si>
  <si>
    <t>ชอบพิมาย</t>
  </si>
  <si>
    <t>551521033089-2</t>
  </si>
  <si>
    <t>วิพันธ์</t>
  </si>
  <si>
    <t>2707</t>
  </si>
  <si>
    <t>551521011225-8</t>
  </si>
  <si>
    <t>นายอธิวัต</t>
  </si>
  <si>
    <t>สมาธิมงคล</t>
  </si>
  <si>
    <t>551521011223-3</t>
  </si>
  <si>
    <t>541824042012-4</t>
  </si>
  <si>
    <t>นายวัชรพงษ</t>
  </si>
  <si>
    <t>จันทร์อินทร์</t>
  </si>
  <si>
    <t>2708</t>
  </si>
  <si>
    <t>551764012008-3</t>
  </si>
  <si>
    <t>จันทร์เพ็ง</t>
  </si>
  <si>
    <t>551731022024-7</t>
  </si>
  <si>
    <t>นายธัชพนธ์</t>
  </si>
  <si>
    <t>วรทิพย์ธนากูล</t>
  </si>
  <si>
    <t>521733023007-4</t>
  </si>
  <si>
    <t>นายธนศิษฎ์</t>
  </si>
  <si>
    <t>541521011039-6</t>
  </si>
  <si>
    <t>ชูหมื่นไวย์</t>
  </si>
  <si>
    <t>2709</t>
  </si>
  <si>
    <t>541531023005-2</t>
  </si>
  <si>
    <t>นายสิทธิพร</t>
  </si>
  <si>
    <t>พุทธวัน</t>
  </si>
  <si>
    <t>541521011022-2</t>
  </si>
  <si>
    <t>นายศรราม</t>
  </si>
  <si>
    <t>551625072006-7</t>
  </si>
  <si>
    <t>ศรีเรือง</t>
  </si>
  <si>
    <t>2710</t>
  </si>
  <si>
    <t>551625072024-0</t>
  </si>
  <si>
    <t>นายจิรายุ</t>
  </si>
  <si>
    <t>มีป้อม</t>
  </si>
  <si>
    <t>551625072009-1</t>
  </si>
  <si>
    <t>นายสาธุการ</t>
  </si>
  <si>
    <t>สินปรุ</t>
  </si>
  <si>
    <t>551625072021-6</t>
  </si>
  <si>
    <t>นายดนุสรณ์</t>
  </si>
  <si>
    <t>วันโสภา</t>
  </si>
  <si>
    <t>551825012010-8</t>
  </si>
  <si>
    <t>นายสุรพงษ์</t>
  </si>
  <si>
    <t>ภารสุวรรณ์</t>
  </si>
  <si>
    <t>2711</t>
  </si>
  <si>
    <t>551825012027-2</t>
  </si>
  <si>
    <t>นายธีรยุทร</t>
  </si>
  <si>
    <t>พจน์ฉิมพลี</t>
  </si>
  <si>
    <t>551825012011-6</t>
  </si>
  <si>
    <t>นายชัยรัตน์</t>
  </si>
  <si>
    <t>พัดทะเล</t>
  </si>
  <si>
    <t>551825012029-8</t>
  </si>
  <si>
    <t>นายเอกราช</t>
  </si>
  <si>
    <t>สังข์สุวรรณ์</t>
  </si>
  <si>
    <t>551531011230-7</t>
  </si>
  <si>
    <t>นายศุภฤกต</t>
  </si>
  <si>
    <t>แท่นพุดซา</t>
  </si>
  <si>
    <t>2712</t>
  </si>
  <si>
    <t>551531011026-9</t>
  </si>
  <si>
    <t>นายธนากร</t>
  </si>
  <si>
    <t>ดอนกลาง</t>
  </si>
  <si>
    <t>551531011012-9</t>
  </si>
  <si>
    <t>นายเจริญชัย</t>
  </si>
  <si>
    <t>551523011228-8</t>
  </si>
  <si>
    <t>ลีจันทึก</t>
  </si>
  <si>
    <t>551824042027-9</t>
  </si>
  <si>
    <t>คันสูงเนิน</t>
  </si>
  <si>
    <t>2713</t>
  </si>
  <si>
    <t>551824042002-2</t>
  </si>
  <si>
    <t>นายทัชภูมิ</t>
  </si>
  <si>
    <t>มดจัตุรัส</t>
  </si>
  <si>
    <t>551824042001-4</t>
  </si>
  <si>
    <t>ลางสันเทียะ</t>
  </si>
  <si>
    <t>551824042024-6</t>
  </si>
  <si>
    <t>นายอัครเดช</t>
  </si>
  <si>
    <t>โมงขุนทด</t>
  </si>
  <si>
    <t>551531011219-0</t>
  </si>
  <si>
    <t>แซ่เอี๊ยว</t>
  </si>
  <si>
    <t>2714</t>
  </si>
  <si>
    <t>551531011201-8</t>
  </si>
  <si>
    <t>นายอนิวรรต</t>
  </si>
  <si>
    <t>ถ้ำกลาง</t>
  </si>
  <si>
    <t>551531011019-4</t>
  </si>
  <si>
    <t>คอยคำ</t>
  </si>
  <si>
    <t>551531011025-1</t>
  </si>
  <si>
    <t>บุญศิริ</t>
  </si>
  <si>
    <t>551521022085-3</t>
  </si>
  <si>
    <t>มินพิมาย</t>
  </si>
  <si>
    <t>2715</t>
  </si>
  <si>
    <t>541522011006-3</t>
  </si>
  <si>
    <t>นายบพิธ</t>
  </si>
  <si>
    <t>มีสวาทนอก</t>
  </si>
  <si>
    <t>551521011228-2</t>
  </si>
  <si>
    <t>นายภากร</t>
  </si>
  <si>
    <t>พันธ์เพ็ง</t>
  </si>
  <si>
    <t>551521022093-7</t>
  </si>
  <si>
    <t>นายวโรตม์</t>
  </si>
  <si>
    <t>อยู่วิเศษ</t>
  </si>
  <si>
    <t>551741022011-3</t>
  </si>
  <si>
    <t>นายสหพัฒน์</t>
  </si>
  <si>
    <t>ใบมณฑา</t>
  </si>
  <si>
    <t>2716</t>
  </si>
  <si>
    <t>551741023028-6</t>
  </si>
  <si>
    <t>นนทรักษ์</t>
  </si>
  <si>
    <t>551741022026-1</t>
  </si>
  <si>
    <t>นายกิตติราช</t>
  </si>
  <si>
    <t>สุวรรณวงค์</t>
  </si>
  <si>
    <t>551625022029-0</t>
  </si>
  <si>
    <t>ไชยธรรม</t>
  </si>
  <si>
    <t>2717</t>
  </si>
  <si>
    <t>551625022032-4</t>
  </si>
  <si>
    <t>นายวชิรพงษ์</t>
  </si>
  <si>
    <t>พงษ์ดี</t>
  </si>
  <si>
    <t>551622012030-7</t>
  </si>
  <si>
    <t>นายสิรภพ</t>
  </si>
  <si>
    <t>ผาครบุรี</t>
  </si>
  <si>
    <t>2718</t>
  </si>
  <si>
    <t>551623012008-1</t>
  </si>
  <si>
    <t>นายธนพนธ์</t>
  </si>
  <si>
    <t>ศรีนอก</t>
  </si>
  <si>
    <t>551625072029-9</t>
  </si>
  <si>
    <t>นายกฤตพัฒน์</t>
  </si>
  <si>
    <t>จันทะรี</t>
  </si>
  <si>
    <t>551751031015-2</t>
  </si>
  <si>
    <t>นามสีฐาน</t>
  </si>
  <si>
    <t>2719</t>
  </si>
  <si>
    <t>551531023016-6</t>
  </si>
  <si>
    <t>นายศิวกร</t>
  </si>
  <si>
    <t>551721011023-3</t>
  </si>
  <si>
    <t>นายเศรษฐวิชย์</t>
  </si>
  <si>
    <t>สุขสมบัติสกุล</t>
  </si>
  <si>
    <t>551721011024-1</t>
  </si>
  <si>
    <t>นายธราธร</t>
  </si>
  <si>
    <t>สีนุชาติ</t>
  </si>
  <si>
    <t>551824042023-8</t>
  </si>
  <si>
    <t>นายพรหมเทพ</t>
  </si>
  <si>
    <t>ศิริมงคล</t>
  </si>
  <si>
    <t>2720</t>
  </si>
  <si>
    <t>551824042028-7</t>
  </si>
  <si>
    <t>นายอลังการ</t>
  </si>
  <si>
    <t>ทิมอุดม</t>
  </si>
  <si>
    <t>551824042016-2</t>
  </si>
  <si>
    <t>จิตตะเสน</t>
  </si>
  <si>
    <t>551824042039-4</t>
  </si>
  <si>
    <t>นายเกียรติภูมิ</t>
  </si>
  <si>
    <t>สังข์จันทึก</t>
  </si>
  <si>
    <t>531523022003-7</t>
  </si>
  <si>
    <t>นายพิรุณ</t>
  </si>
  <si>
    <t>พูลลาย</t>
  </si>
  <si>
    <t>2721</t>
  </si>
  <si>
    <t>541531022001-2</t>
  </si>
  <si>
    <t>นายธนวัตต์</t>
  </si>
  <si>
    <t>ทองสกุล</t>
  </si>
  <si>
    <t>541531023011-0</t>
  </si>
  <si>
    <t>นายปิยะ</t>
  </si>
  <si>
    <t>คำม้าว</t>
  </si>
  <si>
    <t>541531023003-7</t>
  </si>
  <si>
    <t>นายปัตติพงศ์</t>
  </si>
  <si>
    <t>สงวนทรัพย์</t>
  </si>
  <si>
    <t>551531011017-8</t>
  </si>
  <si>
    <t>ปติเก</t>
  </si>
  <si>
    <t>2722</t>
  </si>
  <si>
    <t>551531011222-4</t>
  </si>
  <si>
    <t>นายวีรวิชญ์</t>
  </si>
  <si>
    <t>ประสิทธิแสง</t>
  </si>
  <si>
    <t>551531011006-1</t>
  </si>
  <si>
    <t>ฟองสังข์</t>
  </si>
  <si>
    <t>551531022013-4</t>
  </si>
  <si>
    <t>นายธนภูมิ</t>
  </si>
  <si>
    <t>คำศุภประเสริฐ</t>
  </si>
  <si>
    <t>551523011220-5</t>
  </si>
  <si>
    <t>นายอธิปไตย</t>
  </si>
  <si>
    <t>คู่ตระกูล</t>
  </si>
  <si>
    <t>2723</t>
  </si>
  <si>
    <t>551532032074-2</t>
  </si>
  <si>
    <t>หิมพานต์</t>
  </si>
  <si>
    <t>541531011001-5</t>
  </si>
  <si>
    <t>นายธัชวกุล</t>
  </si>
  <si>
    <t>บุญอัศวโชค</t>
  </si>
  <si>
    <t>551625072013-3</t>
  </si>
  <si>
    <t>นายประวิช</t>
  </si>
  <si>
    <t>ชุมกระโทก</t>
  </si>
  <si>
    <t>2724</t>
  </si>
  <si>
    <t>551625072011-7</t>
  </si>
  <si>
    <t>เสนาไชย</t>
  </si>
  <si>
    <t>551625072015-8</t>
  </si>
  <si>
    <t>เขาโคกกรวด</t>
  </si>
  <si>
    <t>551625072017-4</t>
  </si>
  <si>
    <t>นายชาติอนันต์</t>
  </si>
  <si>
    <t>ละว้า</t>
  </si>
  <si>
    <t>551531022025-8</t>
  </si>
  <si>
    <t>ชอบสูงเนิน</t>
  </si>
  <si>
    <t>2725</t>
  </si>
  <si>
    <t>551531011218-2</t>
  </si>
  <si>
    <t>นายสนทยา</t>
  </si>
  <si>
    <t>แสนเฉลียว</t>
  </si>
  <si>
    <t>551531022027-4</t>
  </si>
  <si>
    <t>นายภัทรพล</t>
  </si>
  <si>
    <t>ตันติวงษ์</t>
  </si>
  <si>
    <t>551531022018-3</t>
  </si>
  <si>
    <t>นายศรัณย์รัฐ</t>
  </si>
  <si>
    <t>จันทร</t>
  </si>
  <si>
    <t>551824042040-2</t>
  </si>
  <si>
    <t>นายทัศนัย</t>
  </si>
  <si>
    <t>2726</t>
  </si>
  <si>
    <t>551824042045-1</t>
  </si>
  <si>
    <t>นายณัฐศาสตร์</t>
  </si>
  <si>
    <t>โคตรแก้ว</t>
  </si>
  <si>
    <t>551826012026-2</t>
  </si>
  <si>
    <t>นายปริวัฒน์</t>
  </si>
  <si>
    <t>551741022027-9</t>
  </si>
  <si>
    <t>พวงพิลา</t>
  </si>
  <si>
    <t>551826012031-2</t>
  </si>
  <si>
    <t>สังเกตุ</t>
  </si>
  <si>
    <t>551824042010-5</t>
  </si>
  <si>
    <t>ยศกลาง</t>
  </si>
  <si>
    <t>2727</t>
  </si>
  <si>
    <t>551825012026-4</t>
  </si>
  <si>
    <t>ทองสุข</t>
  </si>
  <si>
    <t>551824042017-0</t>
  </si>
  <si>
    <t>สายยศ</t>
  </si>
  <si>
    <t>551824042011-3</t>
  </si>
  <si>
    <t>นายอนิรุทธิ์</t>
  </si>
  <si>
    <t>ววมขุนทด</t>
  </si>
  <si>
    <t>531625022015-4</t>
  </si>
  <si>
    <t>หุ่นไทย</t>
  </si>
  <si>
    <t>2728</t>
  </si>
  <si>
    <t>531625022030-3</t>
  </si>
  <si>
    <t>แสนคำ</t>
  </si>
  <si>
    <t>531625022031-1</t>
  </si>
  <si>
    <t>กอบสันเทียะ</t>
  </si>
  <si>
    <t>531625022011-3</t>
  </si>
  <si>
    <t>ศรีวรนันท์</t>
  </si>
  <si>
    <t>551742023008-6</t>
  </si>
  <si>
    <t>สีคุณ</t>
  </si>
  <si>
    <t>2729</t>
  </si>
  <si>
    <t>551742023004-5</t>
  </si>
  <si>
    <t>บุญพิมพ์</t>
  </si>
  <si>
    <t>551752062020-2</t>
  </si>
  <si>
    <t>551531023040-6</t>
  </si>
  <si>
    <t>นายอัมรินทร์</t>
  </si>
  <si>
    <t>โสภารัตน์</t>
  </si>
  <si>
    <t>2730</t>
  </si>
  <si>
    <t>551531023043-0</t>
  </si>
  <si>
    <t>นายโสธร</t>
  </si>
  <si>
    <t>สมพงษ์พิพัฒน์</t>
  </si>
  <si>
    <t>551531023001-8</t>
  </si>
  <si>
    <t>นายพรมงคล</t>
  </si>
  <si>
    <t>ฉิมมาลี</t>
  </si>
  <si>
    <t>551531023030-7</t>
  </si>
  <si>
    <t>ชาวสวน</t>
  </si>
  <si>
    <t>551623012007-3</t>
  </si>
  <si>
    <t>นายจักรรัตรน์</t>
  </si>
  <si>
    <t>ขอบพิมาย</t>
  </si>
  <si>
    <t>2731</t>
  </si>
  <si>
    <t>551623012003-2</t>
  </si>
  <si>
    <t>นายจอมพล</t>
  </si>
  <si>
    <t>พองโนนสูง</t>
  </si>
  <si>
    <t>551622012004-2</t>
  </si>
  <si>
    <t>ทองโคกสูง</t>
  </si>
  <si>
    <t>551625072037-2</t>
  </si>
  <si>
    <t>นายนันทพจน์</t>
  </si>
  <si>
    <t>เทพกมล</t>
  </si>
  <si>
    <t>551523022045-3</t>
  </si>
  <si>
    <t>พินิจเครดิต</t>
  </si>
  <si>
    <t>2732</t>
  </si>
  <si>
    <t>551721032030-3</t>
  </si>
  <si>
    <t>นายสุทธิโชค</t>
  </si>
  <si>
    <t>หิงพุดซา</t>
  </si>
  <si>
    <t>551826012027-0</t>
  </si>
  <si>
    <t>นายตรีทศ</t>
  </si>
  <si>
    <t>ศรีจุฑามาศ</t>
  </si>
  <si>
    <t>551824042013-9</t>
  </si>
  <si>
    <t>นายวุฒิพันธุ์</t>
  </si>
  <si>
    <t>วุฒิสิงห์ชัย</t>
  </si>
  <si>
    <t>551745031019-6</t>
  </si>
  <si>
    <t>เริงจันทึก</t>
  </si>
  <si>
    <t>2733</t>
  </si>
  <si>
    <t>551722022020-4</t>
  </si>
  <si>
    <t>ฆ้องนอก</t>
  </si>
  <si>
    <t>551731023008-9</t>
  </si>
  <si>
    <t>นายชวลิต</t>
  </si>
  <si>
    <t>ปราบประจิตร์</t>
  </si>
  <si>
    <t>551731023001-4</t>
  </si>
  <si>
    <t>นายภาธร</t>
  </si>
  <si>
    <t>อินทรคุปต์</t>
  </si>
  <si>
    <t>551625022020-9</t>
  </si>
  <si>
    <t>นายธนา</t>
  </si>
  <si>
    <t>ทรวงดอน</t>
  </si>
  <si>
    <t>2734</t>
  </si>
  <si>
    <t>551625022003-5</t>
  </si>
  <si>
    <t>นายวรายุทธ</t>
  </si>
  <si>
    <t>นาคา</t>
  </si>
  <si>
    <t>551625022017-5</t>
  </si>
  <si>
    <t>นายอนันทวัฒน์</t>
  </si>
  <si>
    <t>สุนทร</t>
  </si>
  <si>
    <t>551625022027-4</t>
  </si>
  <si>
    <t>นายวัชนันท์</t>
  </si>
  <si>
    <t>สงนอก</t>
  </si>
  <si>
    <t>551632022008-0</t>
  </si>
  <si>
    <t>พลทำ</t>
  </si>
  <si>
    <t>2736</t>
  </si>
  <si>
    <t>551824042042-8</t>
  </si>
  <si>
    <t>สืบสิงห์</t>
  </si>
  <si>
    <t>551632022023-9</t>
  </si>
  <si>
    <t>นายทวยเทพ</t>
  </si>
  <si>
    <t>แก้วตะพาน</t>
  </si>
  <si>
    <t>551762012017-8</t>
  </si>
  <si>
    <t>นายพงษ์พิพัฒน์</t>
  </si>
  <si>
    <t>ศรีสุราช</t>
  </si>
  <si>
    <t>551824042020-4</t>
  </si>
  <si>
    <t>นายวิชาติพงศ์</t>
  </si>
  <si>
    <t>ฉัตรเมืองปัก</t>
  </si>
  <si>
    <t>2801</t>
  </si>
  <si>
    <t>551824042043-6</t>
  </si>
  <si>
    <t>นายนครินทร์</t>
  </si>
  <si>
    <t>ฆ้องผักแว่น</t>
  </si>
  <si>
    <t>551824042030-3</t>
  </si>
  <si>
    <t>นายกิตติพัฒน์</t>
  </si>
  <si>
    <t>ศรีโคตร</t>
  </si>
  <si>
    <t>551733022021-9</t>
  </si>
  <si>
    <t>2802</t>
  </si>
  <si>
    <t>541733022012-1</t>
  </si>
  <si>
    <t>รักพวกกลาง</t>
  </si>
  <si>
    <t>551734011022-8</t>
  </si>
  <si>
    <t>นายสหภาพ</t>
  </si>
  <si>
    <t>จันทร์งาม</t>
  </si>
  <si>
    <t>541733022006-3</t>
  </si>
  <si>
    <t>นายกนกพล</t>
  </si>
  <si>
    <t>จันทำ</t>
  </si>
  <si>
    <t>551625072025-7</t>
  </si>
  <si>
    <t>สุโนภักดิ์</t>
  </si>
  <si>
    <t>2803</t>
  </si>
  <si>
    <t>551625022015-9</t>
  </si>
  <si>
    <t>นายจิรวัฒน์</t>
  </si>
  <si>
    <t>ปิยะกิจ</t>
  </si>
  <si>
    <t>551625022031-6</t>
  </si>
  <si>
    <t>สิงห์อังกุระ</t>
  </si>
  <si>
    <t>551625072033-1</t>
  </si>
  <si>
    <t>นายสุวัฒน์</t>
  </si>
  <si>
    <t>เสนาคำ</t>
  </si>
  <si>
    <t>551824042021-2</t>
  </si>
  <si>
    <t>นายณัฐพัชร์</t>
  </si>
  <si>
    <t>ทะวะดี</t>
  </si>
  <si>
    <t>2804</t>
  </si>
  <si>
    <t>551824042025-3</t>
  </si>
  <si>
    <t>นายวิศวะ</t>
  </si>
  <si>
    <t>สงวนสิน</t>
  </si>
  <si>
    <t>551824042038-6</t>
  </si>
  <si>
    <t>นายปฏิมากร</t>
  </si>
  <si>
    <t>551743012019-4</t>
  </si>
  <si>
    <t>นายเชาวลิต</t>
  </si>
  <si>
    <t>วิเศษ</t>
  </si>
  <si>
    <t>551751031011-1</t>
  </si>
  <si>
    <t>นายนพรัช</t>
  </si>
  <si>
    <t>ชมภูวงศ์</t>
  </si>
  <si>
    <t>2805</t>
  </si>
  <si>
    <t>551751031005-3</t>
  </si>
  <si>
    <t>นายจีระยุทธ</t>
  </si>
  <si>
    <t>หอมหวล</t>
  </si>
  <si>
    <t>551751031026-9</t>
  </si>
  <si>
    <t>นายอัทชัย</t>
  </si>
  <si>
    <t>จำปาต้น</t>
  </si>
  <si>
    <t>551751031020-2</t>
  </si>
  <si>
    <t>นายวีระวัฒน์</t>
  </si>
  <si>
    <t>พิมพ์นนท์</t>
  </si>
  <si>
    <t>551742023015-1</t>
  </si>
  <si>
    <t>นายพิเชษฐ</t>
  </si>
  <si>
    <t>ธนาบูรณ์</t>
  </si>
  <si>
    <t>2806</t>
  </si>
  <si>
    <t>551742023016-9</t>
  </si>
  <si>
    <t>กลิ่นจัตุรัส</t>
  </si>
  <si>
    <t>551742023017-7</t>
  </si>
  <si>
    <t>551742022011-1</t>
  </si>
  <si>
    <t>นายณัชชานันท์</t>
  </si>
  <si>
    <t>ใจงูเหลือม</t>
  </si>
  <si>
    <t>551523022007-3</t>
  </si>
  <si>
    <t>นายสมประสงค์</t>
  </si>
  <si>
    <t>บวชสันเทียะ</t>
  </si>
  <si>
    <t>2807</t>
  </si>
  <si>
    <t>551531011214-1</t>
  </si>
  <si>
    <t>นายศรัญญู</t>
  </si>
  <si>
    <t>บุญประสพ</t>
  </si>
  <si>
    <t>551522011027-6</t>
  </si>
  <si>
    <t>นายชัยทัต</t>
  </si>
  <si>
    <t>พัฒน์ศรี</t>
  </si>
  <si>
    <t>551731023025-3</t>
  </si>
  <si>
    <t>นายรณภพ</t>
  </si>
  <si>
    <t>ต้นเถา</t>
  </si>
  <si>
    <t>2808</t>
  </si>
  <si>
    <t>551731023014-7</t>
  </si>
  <si>
    <t>นายนนท์</t>
  </si>
  <si>
    <t>อุ่นพิกุล</t>
  </si>
  <si>
    <t>551731023015-4</t>
  </si>
  <si>
    <t>นายชัยวุฒิ</t>
  </si>
  <si>
    <t>ภูขุมดิน</t>
  </si>
  <si>
    <t>551731023027-9</t>
  </si>
  <si>
    <t>นายธีรภัทร์</t>
  </si>
  <si>
    <t>ศรีส่อง</t>
  </si>
  <si>
    <t>551521011045-0</t>
  </si>
  <si>
    <t>โวดิฐ</t>
  </si>
  <si>
    <t>2809</t>
  </si>
  <si>
    <t>551521011031-0</t>
  </si>
  <si>
    <t>ภาวจันทึก</t>
  </si>
  <si>
    <t>551521011041-9</t>
  </si>
  <si>
    <t>นายนวพล</t>
  </si>
  <si>
    <t>521625072018-9</t>
  </si>
  <si>
    <t>นายโชคชัย</t>
  </si>
  <si>
    <t>เกี้ยวไธสง</t>
  </si>
  <si>
    <t>2810</t>
  </si>
  <si>
    <t>531732012022-6</t>
  </si>
  <si>
    <t>551625072032-3</t>
  </si>
  <si>
    <t>นายพิสสุต</t>
  </si>
  <si>
    <t>จินดาเวช</t>
  </si>
  <si>
    <t>551625072043-0</t>
  </si>
  <si>
    <t>นายอนวัช</t>
  </si>
  <si>
    <t>ทองพรมราช</t>
  </si>
  <si>
    <t>551764012016-6</t>
  </si>
  <si>
    <t>สุขดี</t>
  </si>
  <si>
    <t>2811</t>
  </si>
  <si>
    <t>551764012022-4</t>
  </si>
  <si>
    <t>นายกษิดิศ</t>
  </si>
  <si>
    <t>551721032029-5</t>
  </si>
  <si>
    <t>จิตรเขต</t>
  </si>
  <si>
    <t>551764012005-9</t>
  </si>
  <si>
    <t>นายบดินทร์ธร</t>
  </si>
  <si>
    <t>เอกบุรุษกุล</t>
  </si>
  <si>
    <t>551733022006-0</t>
  </si>
  <si>
    <t>นายปฏิภาณ</t>
  </si>
  <si>
    <t>ผลผดุง</t>
  </si>
  <si>
    <t>2812</t>
  </si>
  <si>
    <t>551746012003-1</t>
  </si>
  <si>
    <t>นายทัพพ์ทวี</t>
  </si>
  <si>
    <t>สมงาม</t>
  </si>
  <si>
    <t>551531022036-5</t>
  </si>
  <si>
    <t>นายทีปกร</t>
  </si>
  <si>
    <t>ศรีจันทร์ทิพย์</t>
  </si>
  <si>
    <t>2813</t>
  </si>
  <si>
    <t>551531022033-2</t>
  </si>
  <si>
    <t>นายไตรรัตน์</t>
  </si>
  <si>
    <t>เกงขุนทด</t>
  </si>
  <si>
    <t>551623012010-7</t>
  </si>
  <si>
    <t>รุ่งเรืองรัตนา</t>
  </si>
  <si>
    <t>2814</t>
  </si>
  <si>
    <t>551764012028-1</t>
  </si>
  <si>
    <t>นายพรพิพัฒน์</t>
  </si>
  <si>
    <t>สินธุวงษานนท์</t>
  </si>
  <si>
    <t>551764012029-9</t>
  </si>
  <si>
    <t>ชาคริตานนท์</t>
  </si>
  <si>
    <t>551825012037-1</t>
  </si>
  <si>
    <t>นายจงทรรศ</t>
  </si>
  <si>
    <t>ผจญแกล้ว</t>
  </si>
  <si>
    <t>551532032038-7</t>
  </si>
  <si>
    <t>นายหัสวรรษ</t>
  </si>
  <si>
    <t>พรหมทัศนานนท์</t>
  </si>
  <si>
    <t>2815</t>
  </si>
  <si>
    <t>541532032016-6</t>
  </si>
  <si>
    <t>นายพงศ์พันธ์</t>
  </si>
  <si>
    <t>มหาดไทย</t>
  </si>
  <si>
    <t>551734032031-4</t>
  </si>
  <si>
    <t>นายสนิทพันธ์</t>
  </si>
  <si>
    <t>นาควรพงศ์</t>
  </si>
  <si>
    <t>551752012028-6</t>
  </si>
  <si>
    <t>ลาวทอง</t>
  </si>
  <si>
    <t>551825012024-9</t>
  </si>
  <si>
    <t>นายจีรพันธ์</t>
  </si>
  <si>
    <t>ผางกระโทก</t>
  </si>
  <si>
    <t>2816</t>
  </si>
  <si>
    <t>551825012020-7</t>
  </si>
  <si>
    <t>ทาสีเสียด</t>
  </si>
  <si>
    <t>551734011017-8</t>
  </si>
  <si>
    <t>นายถาวร</t>
  </si>
  <si>
    <t>ช่วยตะคุ</t>
  </si>
  <si>
    <t>2817</t>
  </si>
  <si>
    <t>551734011019-4</t>
  </si>
  <si>
    <t>สุภาโสตร์</t>
  </si>
  <si>
    <t>551734011009-5</t>
  </si>
  <si>
    <t>นายพีระชัย</t>
  </si>
  <si>
    <t>คงเกษม</t>
  </si>
  <si>
    <t>551734011020-2</t>
  </si>
  <si>
    <t>นายพรอนันต์</t>
  </si>
  <si>
    <t>ขำพรมราช</t>
  </si>
  <si>
    <t>551733022007-8</t>
  </si>
  <si>
    <t>นายวรเมธ</t>
  </si>
  <si>
    <t>อ้วนโพธิ์กลาง</t>
  </si>
  <si>
    <t>2818</t>
  </si>
  <si>
    <t>551732012008-0</t>
  </si>
  <si>
    <t>นายภานุมาศ</t>
  </si>
  <si>
    <t>พูลสิทธิ์</t>
  </si>
  <si>
    <t>551733022015-1</t>
  </si>
  <si>
    <t>นายกฤษกร</t>
  </si>
  <si>
    <t>สุพัฒนกุล</t>
  </si>
  <si>
    <t>551733022011-0</t>
  </si>
  <si>
    <t>จีนสันเทียะ</t>
  </si>
  <si>
    <t>551731022007-2</t>
  </si>
  <si>
    <t>นายอธิวัฒน์</t>
  </si>
  <si>
    <t>คำแก้ว</t>
  </si>
  <si>
    <t>2819</t>
  </si>
  <si>
    <t>551731022016-3</t>
  </si>
  <si>
    <t>นายวรนาถ</t>
  </si>
  <si>
    <t>สักกะพลางกูร</t>
  </si>
  <si>
    <t>551731022014-8</t>
  </si>
  <si>
    <t>นายอภิชาติ</t>
  </si>
  <si>
    <t>ชัยเวช</t>
  </si>
  <si>
    <t>551731022009-8</t>
  </si>
  <si>
    <t>เกตุพันธ์</t>
  </si>
  <si>
    <t>551531023036-4</t>
  </si>
  <si>
    <t>การบรรจง</t>
  </si>
  <si>
    <t>2820</t>
  </si>
  <si>
    <t>551531023028-1</t>
  </si>
  <si>
    <t>นายณัฒพงษ์</t>
  </si>
  <si>
    <t>นันทเขตต์</t>
  </si>
  <si>
    <t>551531023015-8</t>
  </si>
  <si>
    <t>สิมลี</t>
  </si>
  <si>
    <t>551531022035-7</t>
  </si>
  <si>
    <t>นายกิตติพงศ์</t>
  </si>
  <si>
    <t>สาจันอัด</t>
  </si>
  <si>
    <t>551825012017-3</t>
  </si>
  <si>
    <t>นายวิชยา</t>
  </si>
  <si>
    <t>อินทรชาธร</t>
  </si>
  <si>
    <t>2821</t>
  </si>
  <si>
    <t>551825012023-1</t>
  </si>
  <si>
    <t>นายกฤฐิกร</t>
  </si>
  <si>
    <t>พูนมะลัง</t>
  </si>
  <si>
    <t>551532022028-0</t>
  </si>
  <si>
    <t>นายพัทธนันท์</t>
  </si>
  <si>
    <t>เอกรุ่งเรืองกิจ</t>
  </si>
  <si>
    <t>521826012006-1</t>
  </si>
  <si>
    <t>มุ้ยกระโทก</t>
  </si>
  <si>
    <t>551721033025-2</t>
  </si>
  <si>
    <t>นายชำนาญ</t>
  </si>
  <si>
    <t>มณีเนตร</t>
  </si>
  <si>
    <t>2822</t>
  </si>
  <si>
    <t>551721033005-4</t>
  </si>
  <si>
    <t>นายรังษี</t>
  </si>
  <si>
    <t>โชติพันธ์</t>
  </si>
  <si>
    <t>551721033008-8</t>
  </si>
  <si>
    <t>ด้วงเงิน</t>
  </si>
  <si>
    <t>551721033009-6</t>
  </si>
  <si>
    <t>นายรัฏฐากูร</t>
  </si>
  <si>
    <t>สุวรรณเรือง</t>
  </si>
  <si>
    <t>551522012032-5</t>
  </si>
  <si>
    <t>นายชนาวุฒิ</t>
  </si>
  <si>
    <t>2823</t>
  </si>
  <si>
    <t>541531022020-2</t>
  </si>
  <si>
    <t>นายนัทธพงศ์</t>
  </si>
  <si>
    <t>โสมปาน</t>
  </si>
  <si>
    <t>551532022016-5</t>
  </si>
  <si>
    <t>นายวสุธร</t>
  </si>
  <si>
    <t>มณีธรรมวงศ์</t>
  </si>
  <si>
    <t>541522012017-9</t>
  </si>
  <si>
    <t>นายณัฐกิจ</t>
  </si>
  <si>
    <t>กิจเลิศนิรันดร์</t>
  </si>
  <si>
    <t>551721032008-9</t>
  </si>
  <si>
    <t>เห็งพุดซา</t>
  </si>
  <si>
    <t>2824</t>
  </si>
  <si>
    <t>551721032001-4</t>
  </si>
  <si>
    <t>นายเฉลิมเกียรติ</t>
  </si>
  <si>
    <t>อิทธิเดชพงศ์</t>
  </si>
  <si>
    <t>551721032025-3</t>
  </si>
  <si>
    <t>นายปกิต</t>
  </si>
  <si>
    <t>เจนปิยพงศ์</t>
  </si>
  <si>
    <t>551721032027-9</t>
  </si>
  <si>
    <t>จงพิมาย</t>
  </si>
  <si>
    <t>551532032004-9</t>
  </si>
  <si>
    <t>นายศรัณย์</t>
  </si>
  <si>
    <t>2825</t>
  </si>
  <si>
    <t>551532032018-9</t>
  </si>
  <si>
    <t>551532032033-8</t>
  </si>
  <si>
    <t>นายพงษ์สุนทร</t>
  </si>
  <si>
    <t>วรวิทย์</t>
  </si>
  <si>
    <t>551532032016-3</t>
  </si>
  <si>
    <t>รวมตะคุ</t>
  </si>
  <si>
    <t>551733023023-4</t>
  </si>
  <si>
    <t>ถนอมศรี</t>
  </si>
  <si>
    <t>2826</t>
  </si>
  <si>
    <t>551733023025-9</t>
  </si>
  <si>
    <t>นายปิยะภัทร</t>
  </si>
  <si>
    <t>ทะนุพันธ์</t>
  </si>
  <si>
    <t>551733023028-3</t>
  </si>
  <si>
    <t>นายปัณณวัฒน์</t>
  </si>
  <si>
    <t>ล้วนคัด</t>
  </si>
  <si>
    <t>551733023032-5</t>
  </si>
  <si>
    <t>ศรีนวล</t>
  </si>
  <si>
    <t>551532032034-6</t>
  </si>
  <si>
    <t>นายวิทวัธ</t>
  </si>
  <si>
    <t>คูณจัตุรัส</t>
  </si>
  <si>
    <t>2827</t>
  </si>
  <si>
    <t>551532032047-8</t>
  </si>
  <si>
    <t>นายยุทธ์ดนัย</t>
  </si>
  <si>
    <t>คำมี</t>
  </si>
  <si>
    <t>551826012022-1</t>
  </si>
  <si>
    <t>นายเกรียงพล</t>
  </si>
  <si>
    <t>พันเนตร</t>
  </si>
  <si>
    <t>2828</t>
  </si>
  <si>
    <t>551824042015-4</t>
  </si>
  <si>
    <t>วรพรธนา</t>
  </si>
  <si>
    <t>551762012028-5</t>
  </si>
  <si>
    <t>นายปิยะณัฐ</t>
  </si>
  <si>
    <t>จันทร์กำจร</t>
  </si>
  <si>
    <t>2829</t>
  </si>
  <si>
    <t>551762012015-2</t>
  </si>
  <si>
    <t>นายธนาวิน</t>
  </si>
  <si>
    <t>งามนัก</t>
  </si>
  <si>
    <t>551762012018-6</t>
  </si>
  <si>
    <t>นายโกศวัต</t>
  </si>
  <si>
    <t>ชึขุนทด</t>
  </si>
  <si>
    <t>551762012029-3</t>
  </si>
  <si>
    <t>นายปิยวัฒน์</t>
  </si>
  <si>
    <t>เยี่ยงยงค์</t>
  </si>
  <si>
    <t>551531011217-4</t>
  </si>
  <si>
    <t>ไทยด้วง</t>
  </si>
  <si>
    <t>2830</t>
  </si>
  <si>
    <t>551531011016-0</t>
  </si>
  <si>
    <t>อ้นทอง</t>
  </si>
  <si>
    <t>551523011024-1</t>
  </si>
  <si>
    <t>ทิวงศ์ษา</t>
  </si>
  <si>
    <t>551531023044-8</t>
  </si>
  <si>
    <t>นายณัฐวรรธย์</t>
  </si>
  <si>
    <t>รางแดง</t>
  </si>
  <si>
    <t>551732012026-2</t>
  </si>
  <si>
    <t>นายวทัญญู</t>
  </si>
  <si>
    <t>กิติราช</t>
  </si>
  <si>
    <t>2831</t>
  </si>
  <si>
    <t>551732012013-0</t>
  </si>
  <si>
    <t>นายภาณุสิทธิ์</t>
  </si>
  <si>
    <t>นามเหลา</t>
  </si>
  <si>
    <t>551732012011-4</t>
  </si>
  <si>
    <t>นายปัณณวิช</t>
  </si>
  <si>
    <t>หนองเรือง</t>
  </si>
  <si>
    <t>551732012012-2</t>
  </si>
  <si>
    <t>นายภมรพล</t>
  </si>
  <si>
    <t>วรรณสุทธิ์</t>
  </si>
  <si>
    <t>551721011009-2</t>
  </si>
  <si>
    <t>นายราเชนทร์</t>
  </si>
  <si>
    <t>2832</t>
  </si>
  <si>
    <t>551721011018-3</t>
  </si>
  <si>
    <t>นายธนวัตร</t>
  </si>
  <si>
    <t>551721011011-8</t>
  </si>
  <si>
    <t>ตะรุง</t>
  </si>
  <si>
    <t>551721011015-9</t>
  </si>
  <si>
    <t>นายวรัญชิต</t>
  </si>
  <si>
    <t>ครองยุทธ</t>
  </si>
  <si>
    <t>551625022039-9</t>
  </si>
  <si>
    <t>ยวญกลาง</t>
  </si>
  <si>
    <t>2833</t>
  </si>
  <si>
    <t>551625022038-1</t>
  </si>
  <si>
    <t>541764012017-7</t>
  </si>
  <si>
    <t>เทพาลัย</t>
  </si>
  <si>
    <t>2834</t>
  </si>
  <si>
    <t>541764012022-7</t>
  </si>
  <si>
    <t>อาจศรี</t>
  </si>
  <si>
    <t>541764012007-8</t>
  </si>
  <si>
    <t>นายอัครพล</t>
  </si>
  <si>
    <t>พุฒขาว</t>
  </si>
  <si>
    <t>551532032061-9</t>
  </si>
  <si>
    <t>นายกฤชกมล</t>
  </si>
  <si>
    <t>พฤทริวรากลุ</t>
  </si>
  <si>
    <t>2835</t>
  </si>
  <si>
    <t>551521022063-0</t>
  </si>
  <si>
    <t>นายศิริวุฒิ</t>
  </si>
  <si>
    <t>ทานกระโทก</t>
  </si>
  <si>
    <t>551521022079-6</t>
  </si>
  <si>
    <t>นายชัยวัฒน์</t>
  </si>
  <si>
    <t>เลิศวรรณเอก</t>
  </si>
  <si>
    <t>551625072038-0</t>
  </si>
  <si>
    <t>เต็งเจริญกุล</t>
  </si>
  <si>
    <t>551734043008-9</t>
  </si>
  <si>
    <t>นายไพฑูรย์</t>
  </si>
  <si>
    <t>สิงห์เปี่ยม</t>
  </si>
  <si>
    <t>2836</t>
  </si>
  <si>
    <t>551734043423-0</t>
  </si>
  <si>
    <t>นายอาเนช</t>
  </si>
  <si>
    <t>เมืองยม</t>
  </si>
  <si>
    <t>551732012009-8</t>
  </si>
  <si>
    <t>สุทธิศรีสมบูรณ์</t>
  </si>
  <si>
    <t>551734043031-1</t>
  </si>
  <si>
    <t>นายวัชราวุธ</t>
  </si>
  <si>
    <t>สอนชัยภูมิ</t>
  </si>
  <si>
    <t>ประจุดทะเนย์</t>
  </si>
  <si>
    <t>551521011095-5</t>
  </si>
  <si>
    <t>บุตรธรรม</t>
  </si>
  <si>
    <t>541743012025-4</t>
  </si>
  <si>
    <t>541743012003-1</t>
  </si>
  <si>
    <t>531743012014-0</t>
  </si>
  <si>
    <t xml:space="preserve">หวังประสพกลาง </t>
  </si>
  <si>
    <t>โปรดสันเทียะ</t>
  </si>
  <si>
    <t>531732012014-3</t>
  </si>
  <si>
    <t>มุ่งชมกลาง</t>
  </si>
  <si>
    <t>531625072021-1</t>
  </si>
  <si>
    <t>531743012007-4</t>
  </si>
  <si>
    <t xml:space="preserve">สุดตา </t>
  </si>
  <si>
    <t>551523022026-3</t>
  </si>
  <si>
    <t>แพงชัยภูมิ</t>
  </si>
  <si>
    <t xml:space="preserve">วงศ์คำ </t>
  </si>
  <si>
    <t>521521011077-0</t>
  </si>
  <si>
    <t>551522013031-6</t>
  </si>
  <si>
    <t>ศรีนาค</t>
  </si>
  <si>
    <t>สายบุตร</t>
  </si>
  <si>
    <t>541521033010-1</t>
  </si>
  <si>
    <t>พักหมื่นไวย</t>
  </si>
  <si>
    <t>541743012014-8</t>
  </si>
  <si>
    <t>รำกลาง</t>
  </si>
  <si>
    <t>551521011227-4</t>
  </si>
  <si>
    <t xml:space="preserve">เนตรตะคุ </t>
  </si>
  <si>
    <t>หม่อนกระโทก</t>
  </si>
  <si>
    <t>ยุงกลาง</t>
  </si>
  <si>
    <t>541623012016-7</t>
  </si>
  <si>
    <t>541623012014-2</t>
  </si>
  <si>
    <t>541623012012-6</t>
  </si>
  <si>
    <t>ขำพลกรัง</t>
  </si>
  <si>
    <t>เหมือนสันเทียะ</t>
  </si>
  <si>
    <t xml:space="preserve">นิยันตัง </t>
  </si>
  <si>
    <t>เตียงว่าง</t>
  </si>
  <si>
    <t>เพชรกระโทก</t>
  </si>
  <si>
    <t>แซ่โลว</t>
  </si>
  <si>
    <t>ชิชุนทด</t>
  </si>
  <si>
    <t>551733023001-0</t>
  </si>
  <si>
    <t>วันจันทึก</t>
  </si>
  <si>
    <t>ตีบกลาง</t>
  </si>
  <si>
    <t>จำปาเฟื่อง</t>
  </si>
  <si>
    <t>สุขหร่อง</t>
  </si>
  <si>
    <t>สกุลรัตน์พรชัย</t>
  </si>
  <si>
    <t>กฤษสุวรรณ</t>
  </si>
  <si>
    <t>นายภัทรวุฒิ</t>
  </si>
  <si>
    <t>คำพิทักษ์</t>
  </si>
  <si>
    <t>นายธานินทร์</t>
  </si>
  <si>
    <t>ลักขษร</t>
  </si>
  <si>
    <t>ยอดสง่า</t>
  </si>
  <si>
    <t>นายธนโชติ</t>
  </si>
  <si>
    <t>อินชู</t>
  </si>
  <si>
    <t>นายไกรวิทย์</t>
  </si>
  <si>
    <t>การนอก</t>
  </si>
  <si>
    <t>นายสาโรจน์</t>
  </si>
  <si>
    <t>เซ็นกลาง</t>
  </si>
  <si>
    <t>นายธีระพล</t>
  </si>
  <si>
    <t>วัดเวียงคำ</t>
  </si>
  <si>
    <t>นายวิศนุกร</t>
  </si>
  <si>
    <t>พะไลยรัมย์</t>
  </si>
  <si>
    <t>ชัยศิลป์</t>
  </si>
  <si>
    <t>อารีย์เจริญ</t>
  </si>
  <si>
    <t>นายธนิต</t>
  </si>
  <si>
    <t>ป้องคำกวย</t>
  </si>
  <si>
    <t>นายอิทธิพล</t>
  </si>
  <si>
    <t>ปิดจันทึก</t>
  </si>
  <si>
    <t>นายพรชัย</t>
  </si>
  <si>
    <t>การะวงศ์</t>
  </si>
  <si>
    <t>นายสุรสิทธิ์</t>
  </si>
  <si>
    <t>กันยามา</t>
  </si>
  <si>
    <t>นายทศนาถ</t>
  </si>
  <si>
    <t>กลั่นกลาง</t>
  </si>
  <si>
    <t>สัตย์ธรรม</t>
  </si>
  <si>
    <t>กำจัดภัย</t>
  </si>
  <si>
    <t>นายครรชิต</t>
  </si>
  <si>
    <t>คู่กระสังข์</t>
  </si>
  <si>
    <t>นายวัชรพล</t>
  </si>
  <si>
    <t>จวงพลงาม</t>
  </si>
  <si>
    <t>551733023035-8</t>
  </si>
  <si>
    <t>นายบัณฑิต</t>
  </si>
  <si>
    <t xml:space="preserve">ศรีสูงเนิน </t>
  </si>
  <si>
    <t>541521022007-0</t>
  </si>
  <si>
    <t>นาย'ณัฐสิทธิ์</t>
  </si>
  <si>
    <t>พยัคฆ์</t>
  </si>
  <si>
    <t>สุดสันเทียะ</t>
  </si>
  <si>
    <t>สาแล</t>
  </si>
  <si>
    <t>551764012010-9</t>
  </si>
  <si>
    <t>ชูดวงพรหม</t>
  </si>
  <si>
    <t>นายภาณุมาศ</t>
  </si>
  <si>
    <t>หนอกกระโทก</t>
  </si>
  <si>
    <t>อินทะวงศ์</t>
  </si>
  <si>
    <t>551625022037-3</t>
  </si>
  <si>
    <t>นายญาณพัฒน์</t>
  </si>
  <si>
    <t>แสงกล้า</t>
  </si>
  <si>
    <t>551625072042-2</t>
  </si>
  <si>
    <t>อัมฤทธิ์</t>
  </si>
  <si>
    <t>551532032041-1</t>
  </si>
  <si>
    <t>นายศิลา</t>
  </si>
  <si>
    <t>งาสันเทียะ</t>
  </si>
  <si>
    <t>551742023003-7</t>
  </si>
  <si>
    <t>นายธีรชัย</t>
  </si>
  <si>
    <t>อโณทัยไพบูลย์</t>
  </si>
  <si>
    <t>551824042029-5</t>
  </si>
  <si>
    <t>เหมา 2 เตียง</t>
  </si>
  <si>
    <t>ลาออก</t>
  </si>
  <si>
    <t>541532032063-8</t>
  </si>
  <si>
    <t>มหาวัง</t>
  </si>
  <si>
    <t>551532022035-5</t>
  </si>
  <si>
    <t>แพงศรีไฮ</t>
  </si>
  <si>
    <t>หวังเขื่อนกลาง</t>
  </si>
  <si>
    <t>541523022039-9</t>
  </si>
  <si>
    <t>531623012028-4</t>
  </si>
  <si>
    <t>531623012003-7</t>
  </si>
  <si>
    <t>โสวะ</t>
  </si>
  <si>
    <t>521743012007-6</t>
  </si>
  <si>
    <t>531522011222-8</t>
  </si>
  <si>
    <t>521625022032-1</t>
  </si>
  <si>
    <t>521625022010-7</t>
  </si>
  <si>
    <t>521625022028-9</t>
  </si>
  <si>
    <t>541733022029-5</t>
  </si>
  <si>
    <t>551532022045-4</t>
  </si>
  <si>
    <t>551531011226-5</t>
  </si>
  <si>
    <t>551521022021-8</t>
  </si>
  <si>
    <t>551762012013-7</t>
  </si>
  <si>
    <t>551745031029-5</t>
  </si>
  <si>
    <t>551751043003-4</t>
  </si>
  <si>
    <t>541721033401-8</t>
  </si>
  <si>
    <t>551742011005-6</t>
  </si>
  <si>
    <t>551742011009-8</t>
  </si>
  <si>
    <t>551751011005-7</t>
  </si>
  <si>
    <t>551734032012-4</t>
  </si>
  <si>
    <t>551751021009-7</t>
  </si>
  <si>
    <t>551751021012-1</t>
  </si>
  <si>
    <t>551732012003-1</t>
  </si>
  <si>
    <t>551732013029-5</t>
  </si>
  <si>
    <t>521531022043-8</t>
  </si>
  <si>
    <t>551741023001-3</t>
  </si>
  <si>
    <t>551741023005-4</t>
  </si>
  <si>
    <t>551751021018-8</t>
  </si>
  <si>
    <t>551741023012-0</t>
  </si>
  <si>
    <t>521532032068-1</t>
  </si>
  <si>
    <t>551741023023-7</t>
  </si>
  <si>
    <t>นายณัฐวัตร</t>
  </si>
  <si>
    <t>ขันตี</t>
  </si>
  <si>
    <t>551532032048-6</t>
  </si>
  <si>
    <t>นายกิจจา</t>
  </si>
  <si>
    <t>สองจันทึก</t>
  </si>
  <si>
    <t>นายเอกสิทธิ์</t>
  </si>
  <si>
    <t>โพธิ์หมื่นไวย</t>
  </si>
  <si>
    <t>551532032050-2</t>
  </si>
  <si>
    <t>551732012024-7</t>
  </si>
  <si>
    <t>551741022022-0</t>
  </si>
  <si>
    <t>551521022018-4</t>
  </si>
  <si>
    <t>541531023034-2</t>
  </si>
  <si>
    <t>ค้างค่าหอพัก</t>
  </si>
  <si>
    <t>5515320320063-5</t>
  </si>
  <si>
    <t>จันทรธิกานนท์</t>
  </si>
  <si>
    <t>ค้างค่าจักรยาน</t>
  </si>
  <si>
    <t>แผนกงานบริการหอพักนักศึกษาจะดำเนินการตามระเบียบของมหาวิทยาลัยต่อไป</t>
  </si>
  <si>
    <t xml:space="preserve">หอพักนักศึกษาหญิง </t>
  </si>
  <si>
    <t>รายงานค่าประกันของเสียหาย/ค่าทำความสะอาด ปีการศึกษา 2555</t>
  </si>
  <si>
    <t>หอพักนักศึกษาชาย</t>
  </si>
  <si>
    <t>รายงานค่าประกันของเสียหาย/ค่าทำความสะอาด  ปีการศึกษา 2555</t>
  </si>
  <si>
    <t>531743012026-4</t>
  </si>
  <si>
    <t>551523011015-9</t>
  </si>
  <si>
    <t>ขอสินกลาง</t>
  </si>
  <si>
    <t>551733022030-0</t>
  </si>
  <si>
    <t>นายเดชาวัต</t>
  </si>
  <si>
    <t>รักษาวงษ์</t>
  </si>
  <si>
    <t>ที่</t>
  </si>
  <si>
    <t>นส.สุกัญญา</t>
  </si>
  <si>
    <t>นส.นพวรรณ</t>
  </si>
  <si>
    <t>นส.อิสรา</t>
  </si>
  <si>
    <t>นส.ธนิษฐา</t>
  </si>
  <si>
    <t>นส.ขวัญพร</t>
  </si>
  <si>
    <t>นส.จันทรา</t>
  </si>
  <si>
    <t>นส.กรรณิการ์</t>
  </si>
  <si>
    <t>นส.ชโลทร</t>
  </si>
  <si>
    <t>นส.นารีรัตน์</t>
  </si>
  <si>
    <t>นส.ศุภลักษณ์</t>
  </si>
  <si>
    <t>นส.จันจิรา</t>
  </si>
  <si>
    <t>นส.ลัดดา</t>
  </si>
  <si>
    <t>นส.รัตนาพร</t>
  </si>
  <si>
    <t>นส.วิรัลยุภา</t>
  </si>
  <si>
    <t>นส.ศิริจรรยา</t>
  </si>
  <si>
    <t>นส.กรวิกา</t>
  </si>
  <si>
    <t>นส.กาญจนา</t>
  </si>
  <si>
    <t>นส.ขนิษฐา</t>
  </si>
  <si>
    <t>นส.ชนิสรา</t>
  </si>
  <si>
    <t>นส.มนัสนันท์</t>
  </si>
  <si>
    <t>นส.นิภาภรณ์</t>
  </si>
  <si>
    <t>นส.ประภาพร</t>
  </si>
  <si>
    <t>นส.ดรุณี</t>
  </si>
  <si>
    <t>นส.จิราพร</t>
  </si>
  <si>
    <t>นส.มุขรินทร์</t>
  </si>
  <si>
    <t>นส.เกศรินทร์</t>
  </si>
  <si>
    <t>นส.สุรีรัตน์</t>
  </si>
  <si>
    <t>นส.อัจฉริยา</t>
  </si>
  <si>
    <t>นส.จินตนา</t>
  </si>
  <si>
    <t>นส.นาตยา</t>
  </si>
  <si>
    <t>นส.พิศเพลิน</t>
  </si>
  <si>
    <t>นส.อรนุช</t>
  </si>
  <si>
    <t>นส.นวรัตน์</t>
  </si>
  <si>
    <t>นส.วิภาวดี</t>
  </si>
  <si>
    <t>นส.ศิริลักษณ์</t>
  </si>
  <si>
    <t>นส.ณัฐกานต์</t>
  </si>
  <si>
    <t>นส.อนงค์ลักษณ์</t>
  </si>
  <si>
    <t>นส.ขวัญฤดี</t>
  </si>
  <si>
    <t>นส.นันทรัตน์</t>
  </si>
  <si>
    <t>นส.วรรณวิสา</t>
  </si>
  <si>
    <t>นส.สิริประภา</t>
  </si>
  <si>
    <t>นส.ฉัตรทนีย์</t>
  </si>
  <si>
    <t>นส.พิจิตรา</t>
  </si>
  <si>
    <t>นส.สุกันยา</t>
  </si>
  <si>
    <t>นส.รัตนาภรณ์</t>
  </si>
  <si>
    <t>นส.ราตรี</t>
  </si>
  <si>
    <t>นส.อังคณา</t>
  </si>
  <si>
    <t>นส.ขวัญตา</t>
  </si>
  <si>
    <t>นส.วนิชยา</t>
  </si>
  <si>
    <t>นส.จันทร์เพ็ญ</t>
  </si>
  <si>
    <t>นส.ศสิวิมล</t>
  </si>
  <si>
    <t>นส.อัญชลี</t>
  </si>
  <si>
    <t>นส.วิชุดา</t>
  </si>
  <si>
    <t>นส.ชลธิชา</t>
  </si>
  <si>
    <t>นส.สุภาพร</t>
  </si>
  <si>
    <t>นส.พิธุนิภา</t>
  </si>
  <si>
    <t>นส.นภาพร</t>
  </si>
  <si>
    <t>นส.วาธินี</t>
  </si>
  <si>
    <t>นส.ดวงเนตร</t>
  </si>
  <si>
    <t>นส.ฐิติมา</t>
  </si>
  <si>
    <t>นส.พิชญามณท์</t>
  </si>
  <si>
    <t>นส.สินาภรณ์</t>
  </si>
  <si>
    <t>นส.เสาวลักษณ์</t>
  </si>
  <si>
    <t>นส.ชุติมา</t>
  </si>
  <si>
    <t>นส.นุชจรี</t>
  </si>
  <si>
    <t>นส.อุไรรัตน์</t>
  </si>
  <si>
    <t>นส.เจนชฎา</t>
  </si>
  <si>
    <t>นส.นิภาพร</t>
  </si>
  <si>
    <t>นส.ดุษฎี</t>
  </si>
  <si>
    <t>นส.พรวิไล</t>
  </si>
  <si>
    <t>นส.สุริยาพร</t>
  </si>
  <si>
    <t>นส.สุภาภรณ์</t>
  </si>
  <si>
    <t>นส.สุปราณี</t>
  </si>
  <si>
    <t>นส.ศุภวรรณ</t>
  </si>
  <si>
    <t>นส.สุรีย์พร</t>
  </si>
  <si>
    <t>นส.เครือวัลย์</t>
  </si>
  <si>
    <t>นส.จุฑามาศ</t>
  </si>
  <si>
    <t>นส.อภันตรี</t>
  </si>
  <si>
    <t>นส.ดาว</t>
  </si>
  <si>
    <t>นส.ศริญญา</t>
  </si>
  <si>
    <t>นส.กฤตยานันท์</t>
  </si>
  <si>
    <t>นส.กมลทิพย์</t>
  </si>
  <si>
    <t>นส.ดวงแก้ว</t>
  </si>
  <si>
    <t>นส.จุฑารัตน์</t>
  </si>
  <si>
    <t>นส.สิริยา</t>
  </si>
  <si>
    <t>นส.อัจฉรา</t>
  </si>
  <si>
    <t>นส.วนิดา</t>
  </si>
  <si>
    <t>นส.นภวรรณ</t>
  </si>
  <si>
    <t>นส.จิตต์ลัดดา</t>
  </si>
  <si>
    <t>นส.สิริกัญญา</t>
  </si>
  <si>
    <t>นส.วราภรณ์</t>
  </si>
  <si>
    <t>นส.จิตติมา</t>
  </si>
  <si>
    <t>นส.ขวัญศีริ</t>
  </si>
  <si>
    <t>นส.ธนพร</t>
  </si>
  <si>
    <t>นส.ภัทรธีรา</t>
  </si>
  <si>
    <t>นส.นิตยา</t>
  </si>
  <si>
    <t>นส.ปานทิพย์</t>
  </si>
  <si>
    <t>นส.นิภารัตน์</t>
  </si>
  <si>
    <t>นส.ปรารถนา</t>
  </si>
  <si>
    <t>นส.รัตติกาล</t>
  </si>
  <si>
    <t>นส.สุรัตวดี</t>
  </si>
  <si>
    <t>นส.ธันย์ชนก</t>
  </si>
  <si>
    <t>นส.สมาพร</t>
  </si>
  <si>
    <t>นส.รุจีนันท์</t>
  </si>
  <si>
    <t>นส.ธนภรณ์</t>
  </si>
  <si>
    <t>นส.อนุสรา</t>
  </si>
  <si>
    <t>นส.ธาราวดี</t>
  </si>
  <si>
    <t>นส.ลัดดาวัณ</t>
  </si>
  <si>
    <t>นส.ทวินันท์</t>
  </si>
  <si>
    <t>นส.ปนัดดา</t>
  </si>
  <si>
    <t>นส.สุดารัตน์</t>
  </si>
  <si>
    <t>นส.ธัญญรัตน์</t>
  </si>
  <si>
    <t>นส.กมลณัฐ</t>
  </si>
  <si>
    <t>นส.เสาวนีย์</t>
  </si>
  <si>
    <t>นส.ปิยพร</t>
  </si>
  <si>
    <t>นส.สายสุนีย์</t>
  </si>
  <si>
    <t>นส.อารีพร</t>
  </si>
  <si>
    <t>นส.มนัสพร</t>
  </si>
  <si>
    <t>นส.ณัฐฐินันท์</t>
  </si>
  <si>
    <t>นส.แสงเดือน</t>
  </si>
  <si>
    <t>นส.อรณี</t>
  </si>
  <si>
    <t>นส.สุมาลี</t>
  </si>
  <si>
    <t>นส.สุนิสา</t>
  </si>
  <si>
    <t>นส.นิศาชล</t>
  </si>
  <si>
    <t>นส.กนกนันท์</t>
  </si>
  <si>
    <t>นส.นริศรา</t>
  </si>
  <si>
    <t>นส.ธิดาทิพย์</t>
  </si>
  <si>
    <t>นส.ภัทราพร</t>
  </si>
  <si>
    <t>นส.สุพัตรา</t>
  </si>
  <si>
    <t>นส.พรพิมล</t>
  </si>
  <si>
    <t>นส.สุนีย์</t>
  </si>
  <si>
    <t>นส.ณิชากร</t>
  </si>
  <si>
    <t>นส.ทัศนีย์</t>
  </si>
  <si>
    <t>นส.อิงกาญจน์</t>
  </si>
  <si>
    <t>นส.ศิริพร</t>
  </si>
  <si>
    <t>นส.วารุณี</t>
  </si>
  <si>
    <t>นส.ปาริชาติ</t>
  </si>
  <si>
    <t>นส.ศศิธร</t>
  </si>
  <si>
    <t>นส.วันวิสา</t>
  </si>
  <si>
    <t>นส.ปาลิตา</t>
  </si>
  <si>
    <t>นส.สุมนรตี</t>
  </si>
  <si>
    <t>นส.จริยา</t>
  </si>
  <si>
    <t>นส.วิชชุดา</t>
  </si>
  <si>
    <t>นส.ปิยมาภรณ์</t>
  </si>
  <si>
    <t>นส.ธัญญพัทธิ์</t>
  </si>
  <si>
    <t>นส.ชโรธร</t>
  </si>
  <si>
    <t>นส.กมลวรรณ</t>
  </si>
  <si>
    <t>นส.ดวงสุรีย์</t>
  </si>
  <si>
    <t>นส.ภัทรานี</t>
  </si>
  <si>
    <t>นส.นันทวรรณ</t>
  </si>
  <si>
    <t>นส.นฤมล</t>
  </si>
  <si>
    <t>นส.ยุพาภรณ์</t>
  </si>
  <si>
    <t>นส.อาริยา</t>
  </si>
  <si>
    <t>นส.พิราวรรณ</t>
  </si>
  <si>
    <t>นส.พรพรรษา</t>
  </si>
  <si>
    <t>นส.ละอองดาว</t>
  </si>
  <si>
    <t>นส.จุฬาลักษณ์</t>
  </si>
  <si>
    <t>นส.สารภี</t>
  </si>
  <si>
    <t>นส.เกวลี</t>
  </si>
  <si>
    <t>นส.พิมพ์ณภัทร</t>
  </si>
  <si>
    <t>นส.วิภาดา</t>
  </si>
  <si>
    <t>นส.พัชรี</t>
  </si>
  <si>
    <t>นส.สุพรรณี</t>
  </si>
  <si>
    <t>นส.อริญา</t>
  </si>
  <si>
    <t>นส.กันทิมา</t>
  </si>
  <si>
    <t>นส.จิตรทิวา</t>
  </si>
  <si>
    <t>นส.เมธินี</t>
  </si>
  <si>
    <t>นส.กมลชนก</t>
  </si>
  <si>
    <t>นส.นิดาวรรณ</t>
  </si>
  <si>
    <t>นส.อรุณทิพย์</t>
  </si>
  <si>
    <t>นส.รัตนา</t>
  </si>
  <si>
    <t>นส.เขมณี</t>
  </si>
  <si>
    <t>นส.วิศรา</t>
  </si>
  <si>
    <t>นส.สุนทรี</t>
  </si>
  <si>
    <t>นส.ณัฏฐธิดา</t>
  </si>
  <si>
    <t>นส.เจนจิรา</t>
  </si>
  <si>
    <t>นส.พรนิภา</t>
  </si>
  <si>
    <t>นส.จันจุรี</t>
  </si>
  <si>
    <t>นส.นุชสรา</t>
  </si>
  <si>
    <t>นส.ชลลดา</t>
  </si>
  <si>
    <t>นส.เสาวรส</t>
  </si>
  <si>
    <t>นส.ดวงกมล</t>
  </si>
  <si>
    <t>นส.อลิสา</t>
  </si>
  <si>
    <t>นส.ณิชกานต์</t>
  </si>
  <si>
    <t>นส.ทักษพร</t>
  </si>
  <si>
    <t>นส.อารีรัตน์</t>
  </si>
  <si>
    <t>นส.วิภาวรรณ</t>
  </si>
  <si>
    <t>นส.วันดี</t>
  </si>
  <si>
    <t>นส.รุจิรดา</t>
  </si>
  <si>
    <t>นส.นิรัชชา</t>
  </si>
  <si>
    <t>นส.รุ่งทิวา</t>
  </si>
  <si>
    <t>นส.อัญญารัตน์</t>
  </si>
  <si>
    <t>นส.จิตลดา</t>
  </si>
  <si>
    <t>นส.มนทรา</t>
  </si>
  <si>
    <t>นส.อัญชลีพร</t>
  </si>
  <si>
    <t>นส.น้ำฝน</t>
  </si>
  <si>
    <t>นส.พัชรา</t>
  </si>
  <si>
    <t>นส.ศุภรัตน์</t>
  </si>
  <si>
    <t>นส.พนิดา</t>
  </si>
  <si>
    <t>นส.ดารัตน์</t>
  </si>
  <si>
    <t>นส.กุสุมาลย์</t>
  </si>
  <si>
    <t>นส.รัตติยา</t>
  </si>
  <si>
    <t>นส.อัญชลิกา</t>
  </si>
  <si>
    <t>นส.พัชราภรณ์</t>
  </si>
  <si>
    <t>นส.ศิริวรรณ</t>
  </si>
  <si>
    <t>นส.อมรรัตน์</t>
  </si>
  <si>
    <t>นส.สาลิณี</t>
  </si>
  <si>
    <t>นส.พุทธชาติ</t>
  </si>
  <si>
    <t>นส.มานิกา</t>
  </si>
  <si>
    <t>นส.วรรณวิษา</t>
  </si>
  <si>
    <t>นส.สาวินี</t>
  </si>
  <si>
    <t>นส.อัญชุลี</t>
  </si>
  <si>
    <t>นส.นัฐธิดา</t>
  </si>
  <si>
    <t>นส.มณีรัตน์</t>
  </si>
  <si>
    <t>นส.จีรภา</t>
  </si>
  <si>
    <t>นส.จตุรพร</t>
  </si>
  <si>
    <t>นส.พชพร</t>
  </si>
  <si>
    <t>นส.หนึ่งฤทัย</t>
  </si>
  <si>
    <t>นส.สุทธิดา</t>
  </si>
  <si>
    <t>นส.ชลธิญา</t>
  </si>
  <si>
    <t>นส.อรพรรณ</t>
  </si>
  <si>
    <t>นส.กรระวี</t>
  </si>
  <si>
    <t>นส.อภิญญา</t>
  </si>
  <si>
    <t>นส.เมธาวี</t>
  </si>
  <si>
    <t>นส.ภัทราวดี</t>
  </si>
  <si>
    <t>นส.เบญจวรรณ</t>
  </si>
  <si>
    <t>นส.อโนมา</t>
  </si>
  <si>
    <t>นส.นวมน</t>
  </si>
  <si>
    <t>นส.ทิพวรรณ</t>
  </si>
  <si>
    <t>นส.ดาริน</t>
  </si>
  <si>
    <t>นส.สุรินทร</t>
  </si>
  <si>
    <t>นส.เกวรินทร์</t>
  </si>
  <si>
    <t>นส.ศุภกาญจน์</t>
  </si>
  <si>
    <t>นส.นิภาดา</t>
  </si>
  <si>
    <t>นส.สุวรรณี</t>
  </si>
  <si>
    <t>นส.พรไพลิน</t>
  </si>
  <si>
    <t>นส.น้ำหอม</t>
  </si>
  <si>
    <t>นส.ปริญญาภรณ์</t>
  </si>
  <si>
    <t>นส.จิรานุช</t>
  </si>
  <si>
    <t>นส.ณัฐณิชา</t>
  </si>
  <si>
    <t>นส.วิจิตรา</t>
  </si>
  <si>
    <t>นส.อริสา</t>
  </si>
  <si>
    <t>นส.ไพลิน</t>
  </si>
  <si>
    <t>นส.ภาวดี</t>
  </si>
  <si>
    <t>นส.จิรัชญา</t>
  </si>
  <si>
    <t>นส.กนกวรรณ</t>
  </si>
  <si>
    <t>นส.พรพรรณ</t>
  </si>
  <si>
    <t>นส.ธิดารัตน์</t>
  </si>
  <si>
    <t>นส.ปิยาภรณ์</t>
  </si>
  <si>
    <t>นส.พรทิพย์</t>
  </si>
  <si>
    <t>นส.ธัญญาพร</t>
  </si>
  <si>
    <t>นส.สุทิวา</t>
  </si>
  <si>
    <t>นส.มลฤดี</t>
  </si>
  <si>
    <t>นส.เดือน</t>
  </si>
  <si>
    <t>นส.จิรพร</t>
  </si>
  <si>
    <t>นส.ชิดชนก</t>
  </si>
  <si>
    <t>นส.ปิยนันท์</t>
  </si>
  <si>
    <t>นส.วาสนา</t>
  </si>
  <si>
    <t>นส.ฤทัยชนก</t>
  </si>
  <si>
    <t>นส.รดามณี</t>
  </si>
  <si>
    <t>นส.อัมรินทร์</t>
  </si>
  <si>
    <t>นส.ณัฐนิชา</t>
  </si>
  <si>
    <t>นส.ชไมพร</t>
  </si>
  <si>
    <t>นส.ดาวใจ</t>
  </si>
  <si>
    <t>นส.ศริพร</t>
  </si>
  <si>
    <t>นส.วิยะดา</t>
  </si>
  <si>
    <t>นส.นันท์ชนก</t>
  </si>
  <si>
    <t>นส.วิริญจ์</t>
  </si>
  <si>
    <t>นส.ปิยนุช</t>
  </si>
  <si>
    <t>นส.ญานี</t>
  </si>
  <si>
    <t>นส.วัลลี</t>
  </si>
  <si>
    <t>นส.พธูนันท์</t>
  </si>
  <si>
    <t>นส.ณัฐธยาน์</t>
  </si>
  <si>
    <t>นส.สการณ์</t>
  </si>
  <si>
    <t>นส.กัญญารักษ์</t>
  </si>
  <si>
    <t>นส.กัญญาวีร์</t>
  </si>
  <si>
    <t>นส.กิริตา</t>
  </si>
  <si>
    <t>นส.จันทิมา</t>
  </si>
  <si>
    <t>นส.นันทิยา</t>
  </si>
  <si>
    <t>นส.ชมพูนุท</t>
  </si>
  <si>
    <t>นส.สุวนันท์</t>
  </si>
  <si>
    <t>นส.นิลลาวัลย์</t>
  </si>
  <si>
    <t>นส.วิลาสินี</t>
  </si>
  <si>
    <t>นส.อุษาลักษณ์</t>
  </si>
  <si>
    <t>นส.วริศรา</t>
  </si>
  <si>
    <t>นส.ฐาปนี</t>
  </si>
  <si>
    <t>นส.สุกฤตา</t>
  </si>
  <si>
    <t>นส.ลัดดาวัลย์</t>
  </si>
  <si>
    <t>นส.ยุวรี</t>
  </si>
  <si>
    <t>นส.วรรณิศา</t>
  </si>
  <si>
    <t>นส.ธัญญาเรศ</t>
  </si>
  <si>
    <t>นส.มิ่งขวัญ</t>
  </si>
  <si>
    <t>นส.ณัฐวดี</t>
  </si>
  <si>
    <t>นส.โชติรัตน์</t>
  </si>
  <si>
    <t>นส.นุชนาถ</t>
  </si>
  <si>
    <t>นส.พรรณนิดา</t>
  </si>
  <si>
    <t>นส.สกุลรัตน์</t>
  </si>
  <si>
    <t>นส.อวิกา</t>
  </si>
  <si>
    <t>นส.ธีรวรรณ</t>
  </si>
  <si>
    <t>นส.พิรุฬห์ลักษณ์</t>
  </si>
  <si>
    <t>นส.สุวิสา</t>
  </si>
  <si>
    <t>นส.ปรียา</t>
  </si>
  <si>
    <t>นส.รัชฎาบุญ</t>
  </si>
  <si>
    <t>นส.พรสุดา</t>
  </si>
  <si>
    <t>นส.อัญเชิญ</t>
  </si>
  <si>
    <t>นส.ปวีณา</t>
  </si>
  <si>
    <t>นส.มณฑิตา</t>
  </si>
  <si>
    <t>นส.เฟื่องฟ้า</t>
  </si>
  <si>
    <t>นส.ประภาวดี</t>
  </si>
  <si>
    <t>นส.วรรณธิดา</t>
  </si>
  <si>
    <t>นส.อันธิกา</t>
  </si>
  <si>
    <t>นส.อัมพร</t>
  </si>
  <si>
    <t>นส.จารุวรรณ</t>
  </si>
  <si>
    <t>นส.สิริกมล</t>
  </si>
  <si>
    <t>นส.อรดี</t>
  </si>
  <si>
    <t>นส.รัชมล</t>
  </si>
  <si>
    <t>นส.สุวรรณา</t>
  </si>
  <si>
    <t>นส.สาวิณี</t>
  </si>
  <si>
    <t>นส.วีรยา</t>
  </si>
  <si>
    <t>นส.ศิรินภาพร</t>
  </si>
  <si>
    <t>นส.เด่นนภาพร</t>
  </si>
  <si>
    <t>นส.วชิราภรณ์</t>
  </si>
  <si>
    <t>นส.วรัญญา</t>
  </si>
  <si>
    <t>นส.ศศิประภา</t>
  </si>
  <si>
    <t>นส.พิมพ์หทัย</t>
  </si>
  <si>
    <t>นส.พัฒนวรรณ</t>
  </si>
  <si>
    <t>นส.กัญญาณี</t>
  </si>
  <si>
    <t>นส.วชิตา</t>
  </si>
  <si>
    <t>นส.พจมาน</t>
  </si>
  <si>
    <t>นส.อุมาพร</t>
  </si>
  <si>
    <t>นส.แพรวพรรณ</t>
  </si>
  <si>
    <t>นส.พัชรพร</t>
  </si>
  <si>
    <t>นส.สุพรรณิการ์</t>
  </si>
  <si>
    <t>นส.เกศศิรินทร์</t>
  </si>
  <si>
    <t>นส.ณัฐธิชา</t>
  </si>
  <si>
    <t>นส.มาลีวรรณ</t>
  </si>
  <si>
    <t>นส.วีรวรรณ</t>
  </si>
  <si>
    <t>นส.รุ่งนภา</t>
  </si>
  <si>
    <t>นส.นฤเนตร</t>
  </si>
  <si>
    <t>นส.อรวรรณ</t>
  </si>
  <si>
    <t>นส.กนกอร</t>
  </si>
  <si>
    <t>นส.รำไพ</t>
  </si>
  <si>
    <t>นส.ชลันดา</t>
  </si>
  <si>
    <t>นส.ศิรินทรา</t>
  </si>
  <si>
    <t>นส.จตุรภัทร</t>
  </si>
  <si>
    <t>นส.เจษฎาพร</t>
  </si>
  <si>
    <t>นส.สุดาพร</t>
  </si>
  <si>
    <t>นส.ปนัฏฐา</t>
  </si>
  <si>
    <t>นส.สุมล</t>
  </si>
  <si>
    <t>นส.สรัลยา</t>
  </si>
  <si>
    <t>นส.มณฑกาญจน์</t>
  </si>
  <si>
    <t>นส.สุพรรษา</t>
  </si>
  <si>
    <t>นส.ปิยดา</t>
  </si>
  <si>
    <t>นส.อ้อมฤดี</t>
  </si>
  <si>
    <t>นส.พัชรพัชร์</t>
  </si>
  <si>
    <t>นส.จุรีพร</t>
  </si>
  <si>
    <t>นส.กัญญารัตน์</t>
  </si>
  <si>
    <t>นส.ศิริรัตน์</t>
  </si>
  <si>
    <t>นส.นริกา</t>
  </si>
  <si>
    <t>นส.ภัสชรา</t>
  </si>
  <si>
    <t>นส.กีรติ</t>
  </si>
  <si>
    <t>นส.วิกานต์ดา</t>
  </si>
  <si>
    <t>นส.นัฐชา</t>
  </si>
  <si>
    <t>นส.พิณทิพย์</t>
  </si>
  <si>
    <t>นส.มาริศา</t>
  </si>
  <si>
    <t>นส.ธัญญารัตน์</t>
  </si>
  <si>
    <t>นส.อรพินท์</t>
  </si>
  <si>
    <t>นส.จิราวรรณ</t>
  </si>
  <si>
    <t>นส.ยุพาวรรณ</t>
  </si>
  <si>
    <t>นส.พิมลมาศ</t>
  </si>
  <si>
    <t>นส.อริสรา</t>
  </si>
  <si>
    <t>นส.อิศราภรณ์</t>
  </si>
  <si>
    <t>นส.เกศริน</t>
  </si>
  <si>
    <t>นส.วราพรรณ</t>
  </si>
  <si>
    <t>นส.ศิวิไล</t>
  </si>
  <si>
    <t>นส.ลาวรรณ</t>
  </si>
  <si>
    <t>นส.วัชรินทร์</t>
  </si>
  <si>
    <t>นส.อัจฉราวรรณ</t>
  </si>
  <si>
    <t>นส.ปัทมาพร</t>
  </si>
  <si>
    <t>นส.วัชราพรรณ</t>
  </si>
  <si>
    <t>นส.วชิรดา</t>
  </si>
  <si>
    <t>นส.ศิริประภา</t>
  </si>
  <si>
    <t>นส.ทศพร</t>
  </si>
  <si>
    <t>นส.สุดารักษ์</t>
  </si>
  <si>
    <t>นส.พรสงกรานต์</t>
  </si>
  <si>
    <t>นส.ธาริณี</t>
  </si>
  <si>
    <t>นส.สมใจ</t>
  </si>
  <si>
    <t>นส.ชลิดา</t>
  </si>
  <si>
    <t>นส.ขวัญเรือน</t>
  </si>
  <si>
    <t>นส.นภสร</t>
  </si>
  <si>
    <t>นส.ศิริภรณ์</t>
  </si>
  <si>
    <t>นส.โสภา</t>
  </si>
  <si>
    <t>นส.อัจฉราพร</t>
  </si>
  <si>
    <t>นส.สิวิตา</t>
  </si>
  <si>
    <t>นส.นัฐธิกานต์</t>
  </si>
  <si>
    <t>นส.นัฎรนันท์</t>
  </si>
  <si>
    <t>นส.วิราวรรณ์</t>
  </si>
  <si>
    <t>นส.วิไลวรรณ</t>
  </si>
  <si>
    <t>นส.เพียงตะวัน</t>
  </si>
  <si>
    <t>นส.สมร</t>
  </si>
  <si>
    <t>นส.ระวีวรรณ</t>
  </si>
  <si>
    <t>นส.กชพรรณ</t>
  </si>
  <si>
    <t>นส.พรรณิดา</t>
  </si>
  <si>
    <t xml:space="preserve">นส.ปรางทิพย์ </t>
  </si>
  <si>
    <t>นส.จินห์นิชา</t>
  </si>
  <si>
    <t>นส.ชนนิกานต์</t>
  </si>
  <si>
    <t>นส.ภาณุมาศ</t>
  </si>
  <si>
    <t>นส.เกศรา</t>
  </si>
  <si>
    <t>นส.ศิรินภา</t>
  </si>
  <si>
    <t>นส.ปิยวรรณ</t>
  </si>
  <si>
    <t>นส.จิรวดี</t>
  </si>
  <si>
    <t>นส.รัชนก</t>
  </si>
  <si>
    <t>นส.ลักขณา</t>
  </si>
  <si>
    <t>นส.วัชรีวรรณ</t>
  </si>
  <si>
    <t>นส.ทิพย์พาพรรณ</t>
  </si>
  <si>
    <t>นส.สุชาวดี</t>
  </si>
  <si>
    <t>นส.ปทุมวดี</t>
  </si>
  <si>
    <t>นส.วิศาขา</t>
  </si>
  <si>
    <t>นส.จรีพร</t>
  </si>
  <si>
    <t>นส.กลอยใจ</t>
  </si>
  <si>
    <t>นส.ฉัตรทริกา</t>
  </si>
  <si>
    <t>นส.ภัคสิรา</t>
  </si>
  <si>
    <t>นส.มนัสชนก</t>
  </si>
  <si>
    <t>นส.มาลีวัลย์</t>
  </si>
  <si>
    <t>นส.นันทนา</t>
  </si>
  <si>
    <t>นส.จิณัฐฐา</t>
  </si>
  <si>
    <t>นส.พัชรีภรณ์</t>
  </si>
  <si>
    <t>นส.ณัฐธิดา</t>
  </si>
  <si>
    <t>นส.กานต์รวี</t>
  </si>
  <si>
    <t>นส.ฐาปนพรรณ์</t>
  </si>
  <si>
    <t>นส.ศุภาวดี</t>
  </si>
  <si>
    <t>นส.นัจรินทร์</t>
  </si>
  <si>
    <t>นส.ศุภสุตา</t>
  </si>
  <si>
    <t>นส.ศิรินันท์</t>
  </si>
  <si>
    <t>นส.เกศราภรณ์</t>
  </si>
  <si>
    <t>นส.บังอร</t>
  </si>
  <si>
    <t>นส.บุหงา</t>
  </si>
  <si>
    <t>นส.มยุรา</t>
  </si>
  <si>
    <t>นส.มะลิวรรณ</t>
  </si>
  <si>
    <t>นส.วารี</t>
  </si>
  <si>
    <t>นส.มาริษา</t>
  </si>
  <si>
    <t>นส.จิราภรณ์</t>
  </si>
  <si>
    <t>นส.จิตรอนงค์</t>
  </si>
  <si>
    <t>นส.ชลิตา</t>
  </si>
  <si>
    <t>นส.รัชนีวรรณ</t>
  </si>
  <si>
    <t>นส.อิสยาภรณ์</t>
  </si>
  <si>
    <t>นส.บุญพิทักษ์</t>
  </si>
  <si>
    <t>นส.วิลาวรรณ</t>
  </si>
  <si>
    <t>นส.บงกช</t>
  </si>
  <si>
    <t>นส.อิศราพร</t>
  </si>
  <si>
    <t>นส.กิติยา</t>
  </si>
  <si>
    <t>นส.วิรินทรา</t>
  </si>
  <si>
    <t>นส.อุษา</t>
  </si>
  <si>
    <t>นส.ปิยะนันท์</t>
  </si>
  <si>
    <t>นส.อชิรญา</t>
  </si>
  <si>
    <t>นส.ภัทรนันท์</t>
  </si>
  <si>
    <t>นส.ฐานิตา</t>
  </si>
  <si>
    <t>นส.วนาลี</t>
  </si>
  <si>
    <t>นส.วิยดา</t>
  </si>
  <si>
    <t>นส.โชติรส</t>
  </si>
  <si>
    <t>นส.สุภาวิณี</t>
  </si>
  <si>
    <t>นส.ศิริไพลิน</t>
  </si>
  <si>
    <t>นส.ลลิตา</t>
  </si>
  <si>
    <t>นส.วิไลพร</t>
  </si>
  <si>
    <t>นส.ถาวร</t>
  </si>
  <si>
    <t>นส.สุภาวดี</t>
  </si>
  <si>
    <t>นส.นุสบา</t>
  </si>
  <si>
    <t>นส.วรรณพร</t>
  </si>
  <si>
    <t>นส.พรทิพา</t>
  </si>
  <si>
    <t>นส.กอบเกื้อ</t>
  </si>
  <si>
    <t>นส.ฉัตรพร</t>
  </si>
  <si>
    <t>นส.อัญมณี</t>
  </si>
  <si>
    <t>นส.สิริวรรณ</t>
  </si>
  <si>
    <t>นส.ภัทรวดี</t>
  </si>
  <si>
    <t>นส.จิรานันท์</t>
  </si>
  <si>
    <t>นส.วราพร</t>
  </si>
  <si>
    <t>นส.ประกายดาว</t>
  </si>
  <si>
    <t>นส.วนิษา</t>
  </si>
  <si>
    <t>นส.กิตติยา</t>
  </si>
  <si>
    <t>นส.เพ็ญสิริ</t>
  </si>
  <si>
    <t>นส.อรอนงค์</t>
  </si>
  <si>
    <t>นส.นงค์ลักษณ์</t>
  </si>
  <si>
    <t>นส.นัฏฐิกา</t>
  </si>
  <si>
    <t>นส.ปัญกร</t>
  </si>
  <si>
    <t>นส.จุฬารัตน์</t>
  </si>
  <si>
    <t>นส.มลวิภา</t>
  </si>
  <si>
    <t>นส.เพ็ญพักตร์</t>
  </si>
  <si>
    <t>นส.อาภาพร</t>
  </si>
  <si>
    <t>นส.ชุตินันท์</t>
  </si>
  <si>
    <t>นส.อลิษา</t>
  </si>
  <si>
    <t>นส.วิลาวัณย์</t>
  </si>
  <si>
    <t>นส.พิชญาพร</t>
  </si>
  <si>
    <t>นส.รัตนาวดี</t>
  </si>
  <si>
    <t>นส.นุจรี</t>
  </si>
  <si>
    <t>นส.วลัยสุรีย์</t>
  </si>
  <si>
    <t>นส.กณิกา</t>
  </si>
  <si>
    <t>นส.วิภา</t>
  </si>
  <si>
    <t>นส.ชนิกา</t>
  </si>
  <si>
    <t>นส.พัชรินทร์</t>
  </si>
  <si>
    <t>นส.ผกามาส</t>
  </si>
  <si>
    <t>นส.ปรัชญากุล</t>
  </si>
  <si>
    <t>นส.สมฤดี</t>
  </si>
  <si>
    <t>นส.กาญจนรัตน์</t>
  </si>
  <si>
    <t>นส.พิมพ์กานต์</t>
  </si>
  <si>
    <t>นส.วิรังรอง</t>
  </si>
  <si>
    <t>นส.เรณู</t>
  </si>
  <si>
    <t>นส.ชนัญชิดา</t>
  </si>
  <si>
    <t>นส.อรอุมา</t>
  </si>
  <si>
    <t>นส.ชินากร</t>
  </si>
  <si>
    <t>นส.ผุสดี</t>
  </si>
  <si>
    <t>นส.อมรทิพย์</t>
  </si>
  <si>
    <t>นส.ศลิษา</t>
  </si>
  <si>
    <t>นส.ิจิตตรา</t>
  </si>
  <si>
    <t>นส.ลลนา</t>
  </si>
  <si>
    <t>นส.ลัดใจ</t>
  </si>
  <si>
    <t>นส.ภาวิณี</t>
  </si>
  <si>
    <t>นส.ปรียานุช</t>
  </si>
  <si>
    <t>นส.รุจินี</t>
  </si>
  <si>
    <t>นส.ชุติกาญจน์</t>
  </si>
  <si>
    <t>นส.นลินี</t>
  </si>
  <si>
    <t>นส.ยลดา</t>
  </si>
  <si>
    <t>นส.ปฏิทิน</t>
  </si>
  <si>
    <t>นส.วนารินทร์</t>
  </si>
  <si>
    <t>นส.จิตสุภา</t>
  </si>
  <si>
    <t>นส.อำภาพรรณ์</t>
  </si>
  <si>
    <t>นส.มลิวัลย์</t>
  </si>
  <si>
    <t>นส.สุวิภา</t>
  </si>
  <si>
    <t>นส.นันทวัน</t>
  </si>
  <si>
    <t>นส.ญาดา</t>
  </si>
  <si>
    <t>นส.ทิพากร</t>
  </si>
  <si>
    <t>นส.จินดาหรา</t>
  </si>
  <si>
    <t>นส.สายฝน</t>
  </si>
  <si>
    <t>นส.กรรณิกา</t>
  </si>
  <si>
    <t>นส.เนตรชนก</t>
  </si>
  <si>
    <t>นส.อโนชา</t>
  </si>
  <si>
    <t>นส.นภาภรณ์</t>
  </si>
  <si>
    <t>นส.จิตราวดี</t>
  </si>
  <si>
    <t>นส.จิตราภรณ์</t>
  </si>
  <si>
    <t>นส.นิลาวัณย์</t>
  </si>
  <si>
    <t>นส.เทวิกา</t>
  </si>
  <si>
    <t>นส.มุกดา</t>
  </si>
  <si>
    <t>นส.ชิดาวัลย์</t>
  </si>
  <si>
    <t>นส.อาภัสรา</t>
  </si>
  <si>
    <t>นส.พิไลวรรณ</t>
  </si>
  <si>
    <t>นส.กุสุมา</t>
  </si>
  <si>
    <t>นส.อนุธิดา</t>
  </si>
  <si>
    <t>นส.ลดามาศ</t>
  </si>
  <si>
    <t>นส.เกศกาญจน์</t>
  </si>
  <si>
    <t>นส.ภาสินี</t>
  </si>
  <si>
    <t>นส.ระพีพรรณ</t>
  </si>
  <si>
    <t>นส.สุธาสินี</t>
  </si>
  <si>
    <t>นส.พิมวิไล</t>
  </si>
  <si>
    <t>นส.ณัชชา</t>
  </si>
  <si>
    <t>นส.กมลพรรณ</t>
  </si>
  <si>
    <t>นส.วัชรวรีย์</t>
  </si>
  <si>
    <t>นส.อภัสนันท์</t>
  </si>
  <si>
    <t>นส.นันทา</t>
  </si>
  <si>
    <t>นส.วัชรีภรณ์</t>
  </si>
  <si>
    <t>นส.กิตาการ</t>
  </si>
  <si>
    <t>นส.ศศลักษณ์</t>
  </si>
  <si>
    <t>นส.ฐิติรัตน์</t>
  </si>
  <si>
    <t>นส.สุเนตรตา</t>
  </si>
  <si>
    <t>นส.ณัฏฐิดา</t>
  </si>
  <si>
    <t>นส.วิภารัตน์</t>
  </si>
  <si>
    <t>นส.อารียา</t>
  </si>
  <si>
    <t>นส.สุจิตรา</t>
  </si>
  <si>
    <t>นส.ชนิดา</t>
  </si>
  <si>
    <t>นส.ทิพย์รัตน์</t>
  </si>
  <si>
    <t>นส.นุสรา</t>
  </si>
  <si>
    <t>นส.สิรินทิพย์</t>
  </si>
  <si>
    <t>นส.กนกพร</t>
  </si>
  <si>
    <t>นส.สุภารัตน์</t>
  </si>
  <si>
    <t>นส.สุนีลักษณ์</t>
  </si>
  <si>
    <t>นส.อัมรา</t>
  </si>
  <si>
    <t>นส.จันทร์จิรา</t>
  </si>
  <si>
    <t>นส.สยุมพร</t>
  </si>
  <si>
    <t>นส.สิรภัทร</t>
  </si>
  <si>
    <t>นส.รวีวรรณ</t>
  </si>
  <si>
    <t>นส.ณัฐวีร์</t>
  </si>
  <si>
    <t>นส.วัชรากร</t>
  </si>
  <si>
    <t>นส.กัญญา</t>
  </si>
  <si>
    <t>นส.อรวิมล</t>
  </si>
  <si>
    <t>นส.สุมินตรา</t>
  </si>
  <si>
    <t>นส.สิริวิมล</t>
  </si>
  <si>
    <t>นส.สุธิภรณ์</t>
  </si>
  <si>
    <t>นส.ทักษพรรณ</t>
  </si>
  <si>
    <t>นส.รุ่งอรุณ</t>
  </si>
  <si>
    <t>นส.กัลยา</t>
  </si>
  <si>
    <t>นส.พัชนี</t>
  </si>
  <si>
    <t>นส.วรรณภา</t>
  </si>
  <si>
    <t>นส.ธันยาภรณ์</t>
  </si>
  <si>
    <t>นส.กรกนก</t>
  </si>
  <si>
    <t>นส.ธิสุดา</t>
  </si>
  <si>
    <t>นส.ไอรดา</t>
  </si>
  <si>
    <t>นส.สิริยากร</t>
  </si>
  <si>
    <t>นส.ศรสวรรค์</t>
  </si>
  <si>
    <t>นส.เพ็ญพร</t>
  </si>
  <si>
    <t>นส.จิระประภา</t>
  </si>
  <si>
    <t>นส.อาภัสสร</t>
  </si>
  <si>
    <t>นส.นพรัตน์</t>
  </si>
  <si>
    <t>นส.นรินทร์</t>
  </si>
  <si>
    <t>นส.นวลละหงษ์</t>
  </si>
  <si>
    <t>นส.มัทวรรณ</t>
  </si>
  <si>
    <t>นส.สุจิรา</t>
  </si>
  <si>
    <t>นส.อุมาริน</t>
  </si>
  <si>
    <t>นส.ณัฐติกานต์</t>
  </si>
  <si>
    <t>นส.วาริตา</t>
  </si>
  <si>
    <t>นส.ม่านฟ้า</t>
  </si>
  <si>
    <t>นส.อรนลิน</t>
  </si>
  <si>
    <t>นส.พุทธพร</t>
  </si>
  <si>
    <t>นส.สุชาดา</t>
  </si>
  <si>
    <t>นส.พิมพิชา</t>
  </si>
  <si>
    <t>นส.พิมพร</t>
  </si>
  <si>
    <t>นส.วัชราพร</t>
  </si>
  <si>
    <t>นส.วรรณศิริ</t>
  </si>
  <si>
    <t>นส.ธัญญรัศม์</t>
  </si>
  <si>
    <t>นส.กัลยาณี</t>
  </si>
  <si>
    <t>นส.สายธาร</t>
  </si>
  <si>
    <t>นส.ศิริกัญญา</t>
  </si>
  <si>
    <t>นส.กาญจน์มณี</t>
  </si>
  <si>
    <t>นส.กาญจนาพร</t>
  </si>
  <si>
    <t>นส.ธัญญาลักษณ์</t>
  </si>
  <si>
    <t>นส.กันยา</t>
  </si>
  <si>
    <t>นส.โกญจนาท</t>
  </si>
  <si>
    <t>นส.อรสุดา</t>
  </si>
  <si>
    <t>นส.ปิยขวัญ</t>
  </si>
  <si>
    <t>นส.ณัฏฐา</t>
  </si>
  <si>
    <t>นส.นิโลบล</t>
  </si>
  <si>
    <t>นส.เบญญาภา</t>
  </si>
  <si>
    <t>นส.วารินทร์</t>
  </si>
  <si>
    <t>นส.พิมพ์ชนก</t>
  </si>
  <si>
    <t>นส.อภัสรา</t>
  </si>
  <si>
    <t>นส.เพชรรัตน์</t>
  </si>
  <si>
    <t>นส.พัชธาภรณ์</t>
  </si>
  <si>
    <t>นส.มาลิสา</t>
  </si>
  <si>
    <t>นส.ประภัสสร</t>
  </si>
  <si>
    <t>นส.รุจนันท์</t>
  </si>
  <si>
    <t>นส.ธัญยากร</t>
  </si>
  <si>
    <t>นส.พิมพกานต์</t>
  </si>
  <si>
    <t>นส.สุภาภัค</t>
  </si>
  <si>
    <t>นส.เบ็ญญาภา</t>
  </si>
  <si>
    <t>นส.ศุภรัสมิ์</t>
  </si>
  <si>
    <t>นส.สุพรรณษา</t>
  </si>
  <si>
    <t>นส.พรรณิภา</t>
  </si>
  <si>
    <t>นส.ดารุณี</t>
  </si>
  <si>
    <t>นส.นุจชลี</t>
  </si>
  <si>
    <t>นส.นัฐทกานต์</t>
  </si>
  <si>
    <t>นส.ปราง</t>
  </si>
  <si>
    <t>นส.จิดาภา</t>
  </si>
  <si>
    <t>นส.อาทิตยา</t>
  </si>
  <si>
    <t>นส.ศศิมาภรณ์</t>
  </si>
  <si>
    <t>นส.อัปสรลักษณม์</t>
  </si>
  <si>
    <t>นส.วัชรีพร</t>
  </si>
  <si>
    <t>นส.ปภัสรา</t>
  </si>
  <si>
    <t>นส.สุธิดา</t>
  </si>
  <si>
    <t>นส.มินตรา</t>
  </si>
  <si>
    <t>นส.สุรางคณา</t>
  </si>
  <si>
    <t>นส.วิสุดา</t>
  </si>
  <si>
    <t>นส.สุภัสสร</t>
  </si>
  <si>
    <t>นส.กันต์กนิษฐ์</t>
  </si>
  <si>
    <t>นส.มัลลิกา</t>
  </si>
  <si>
    <t>นส.พิชญธิดา</t>
  </si>
  <si>
    <t>นส.นัชริฎา</t>
  </si>
  <si>
    <t>นส.วาริษา</t>
  </si>
  <si>
    <t>นส.รัมภ์รดา</t>
  </si>
  <si>
    <t>นส.ชุติมณฑ์</t>
  </si>
  <si>
    <t>นส.ทิพนาถ</t>
  </si>
  <si>
    <t>นส.ธัญพร</t>
  </si>
  <si>
    <t>นส.พิมพ์ใจ</t>
  </si>
  <si>
    <t>นส.ประภาวรินทร์</t>
  </si>
  <si>
    <t>นส.ช่อผกา</t>
  </si>
  <si>
    <t>นส.กชกร</t>
  </si>
  <si>
    <t>นส.รุ้งทิพย์</t>
  </si>
  <si>
    <t>นส.มาริสา</t>
  </si>
  <si>
    <t>นส.นวพร</t>
  </si>
  <si>
    <t>นส.นันทพร</t>
  </si>
  <si>
    <t>นส.พลอย</t>
  </si>
  <si>
    <t>นส.พัชร์จีรา</t>
  </si>
  <si>
    <t>นส.นันทิกาญจน์</t>
  </si>
  <si>
    <t>นส.พรวิภา</t>
  </si>
  <si>
    <t>นส.เปรมพิมล</t>
  </si>
  <si>
    <t>นส.ฐิติวรดา</t>
  </si>
  <si>
    <t>นส.วรางคณา</t>
  </si>
  <si>
    <t>นส.จุฑาทิพย์</t>
  </si>
  <si>
    <t>นส.อรพิน</t>
  </si>
  <si>
    <t>นส.ปิ่นปริณัฐ</t>
  </si>
  <si>
    <t>นส.สาลี่</t>
  </si>
  <si>
    <t>นส.จิตรา</t>
  </si>
  <si>
    <t>นส.ปัญญาวีย์</t>
  </si>
  <si>
    <t>นส.สุนิภา</t>
  </si>
  <si>
    <t>นส.รัตนมณี</t>
  </si>
  <si>
    <t>นส.ณัฐพร</t>
  </si>
  <si>
    <t>นส.อังศุมาลี</t>
  </si>
  <si>
    <t>นส.กนิษฐา</t>
  </si>
  <si>
    <t>นส.เปรมากร</t>
  </si>
  <si>
    <t>นส.สิรินญา</t>
  </si>
  <si>
    <t>นส.กิ่งกมล</t>
  </si>
  <si>
    <t>นส.เจษฏาภรณ์</t>
  </si>
  <si>
    <t>นส.ณิชารีย์</t>
  </si>
  <si>
    <t>นส.ขวัญกมล</t>
  </si>
  <si>
    <t>นส.รุจิรา</t>
  </si>
  <si>
    <t>นส.นันทิชา</t>
  </si>
  <si>
    <t>นส.พิมชนก</t>
  </si>
  <si>
    <t>นส.เมวิกา</t>
  </si>
  <si>
    <t>นส.เจนจีรา</t>
  </si>
  <si>
    <t>นส.โสฐิดา</t>
  </si>
  <si>
    <t>นส.ลลิดา</t>
  </si>
  <si>
    <t>นส.ธัญวรัตม์</t>
  </si>
  <si>
    <t>ชำระเพิ่ม</t>
  </si>
  <si>
    <t>1,000+354=1,534</t>
  </si>
  <si>
    <t>ว.ด.ป</t>
  </si>
  <si>
    <t xml:space="preserve">   เงินคืน    ค่าประกันความเสียหาย</t>
  </si>
  <si>
    <t>หักค่าของเสียหาย/ค่าทำความสะอาด</t>
  </si>
  <si>
    <t>รับเงินคืนทั้งสิ้น</t>
  </si>
  <si>
    <t xml:space="preserve">  เงินคืน   ค่าไฟฟ้า    </t>
  </si>
  <si>
    <t xml:space="preserve"> </t>
  </si>
  <si>
    <t>สารบัญ</t>
  </si>
  <si>
    <t>หน้าที่ 1</t>
  </si>
  <si>
    <t>หน้าที่ 2</t>
  </si>
  <si>
    <t>หน้าที่ 3</t>
  </si>
  <si>
    <t>หน้าที่ 4</t>
  </si>
  <si>
    <t>หน้าที่ 5</t>
  </si>
  <si>
    <t>หน้าที่ 6</t>
  </si>
  <si>
    <t>หน้าที่ 7</t>
  </si>
  <si>
    <t>หน้าที่ 8</t>
  </si>
  <si>
    <t>หน้าที่ 9</t>
  </si>
  <si>
    <t>หน้าที่ 10</t>
  </si>
  <si>
    <t>หน้าที่ 11</t>
  </si>
  <si>
    <t>หน้าที่ 12</t>
  </si>
  <si>
    <t>หน้าที่ 13</t>
  </si>
  <si>
    <t>หน้าที่ 14</t>
  </si>
  <si>
    <t>หน้าที่ 15</t>
  </si>
  <si>
    <t>หน้าที่ 16</t>
  </si>
  <si>
    <t>หน้าที่ 17</t>
  </si>
  <si>
    <t>หน้าที่ 18</t>
  </si>
  <si>
    <t>หน้าที่ 19</t>
  </si>
  <si>
    <t>หน้าที่ 20</t>
  </si>
  <si>
    <t>หน้าที่ 21</t>
  </si>
  <si>
    <t>หน้าที่ 22</t>
  </si>
  <si>
    <t>หน้าที่ 23</t>
  </si>
  <si>
    <t>หน้าที่ 24</t>
  </si>
  <si>
    <t>หน้าที่ 25</t>
  </si>
  <si>
    <t>หน้าที่ 26</t>
  </si>
  <si>
    <t>หน้าที่ 27</t>
  </si>
  <si>
    <t>หน้าที่ 28</t>
  </si>
  <si>
    <t>หน้าที่ 29</t>
  </si>
  <si>
    <t>หน้าที่ 30</t>
  </si>
  <si>
    <t>หน้าที่ 31</t>
  </si>
  <si>
    <t>หน้าที่ 32</t>
  </si>
  <si>
    <t xml:space="preserve"> -</t>
  </si>
  <si>
    <t>หมายเลขห้อง</t>
  </si>
  <si>
    <t>หอพักนักศึกษาหญิง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</si>
</sst>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#"/>
    <numFmt numFmtId="188" formatCode="_-* #,##0_-;\-* #,##0_-;_-* &quot;-&quot;??_-;_-@_-"/>
  </numFmts>
  <fonts count="17" x14ac:knownFonts="1">
    <font>
      <sz val="10"/>
      <color indexed="8"/>
      <name val="ARIAL"/>
      <charset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CordiaUPC"/>
      <family val="2"/>
      <charset val="222"/>
    </font>
    <font>
      <sz val="10"/>
      <color indexed="8"/>
      <name val="ARIAL"/>
      <charset val="1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C8269A"/>
      <name val="TH SarabunPSK"/>
      <family val="2"/>
    </font>
    <font>
      <sz val="14"/>
      <color rgb="FF0070C0"/>
      <name val="TH SarabunPSK"/>
      <family val="2"/>
    </font>
    <font>
      <sz val="10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top"/>
    </xf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</cellStyleXfs>
  <cellXfs count="602">
    <xf numFmtId="0" fontId="0" fillId="0" borderId="0" xfId="0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>
      <alignment vertical="top"/>
    </xf>
    <xf numFmtId="0" fontId="1" fillId="0" borderId="1" xfId="0" applyFont="1" applyBorder="1">
      <alignment vertical="top"/>
    </xf>
    <xf numFmtId="0" fontId="1" fillId="0" borderId="0" xfId="0" applyFont="1" applyBorder="1">
      <alignment vertical="top"/>
    </xf>
    <xf numFmtId="0" fontId="1" fillId="0" borderId="1" xfId="0" applyFont="1" applyFill="1" applyBorder="1">
      <alignment vertical="top"/>
    </xf>
    <xf numFmtId="0" fontId="1" fillId="0" borderId="0" xfId="0" applyFont="1" applyFill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quotePrefix="1" applyNumberFormat="1" applyFont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>
      <alignment vertical="top"/>
    </xf>
    <xf numFmtId="0" fontId="1" fillId="0" borderId="3" xfId="0" applyFont="1" applyFill="1" applyBorder="1">
      <alignment vertical="top"/>
    </xf>
    <xf numFmtId="0" fontId="1" fillId="0" borderId="0" xfId="0" applyFont="1" applyFill="1" applyBorder="1">
      <alignment vertical="top"/>
    </xf>
    <xf numFmtId="0" fontId="1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1" fillId="0" borderId="4" xfId="0" applyFont="1" applyFill="1" applyBorder="1">
      <alignment vertical="top"/>
    </xf>
    <xf numFmtId="0" fontId="11" fillId="0" borderId="3" xfId="0" applyFont="1" applyFill="1" applyBorder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>
      <alignment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Border="1">
      <alignment vertical="top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Fill="1" applyBorder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4" xfId="0" applyFont="1" applyBorder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3" xfId="0" quotePrefix="1" applyFont="1" applyFill="1" applyBorder="1" applyAlignment="1">
      <alignment horizontal="left" vertical="top" wrapText="1"/>
    </xf>
    <xf numFmtId="0" fontId="11" fillId="0" borderId="0" xfId="0" applyFont="1" applyBorder="1">
      <alignment vertical="top"/>
    </xf>
    <xf numFmtId="188" fontId="1" fillId="0" borderId="0" xfId="1" applyNumberFormat="1" applyFont="1" applyAlignment="1">
      <alignment vertical="top"/>
    </xf>
    <xf numFmtId="188" fontId="1" fillId="0" borderId="0" xfId="0" applyNumberFormat="1" applyFont="1">
      <alignment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>
      <alignment vertical="top"/>
    </xf>
    <xf numFmtId="188" fontId="1" fillId="0" borderId="0" xfId="1" applyNumberFormat="1" applyFont="1" applyFill="1" applyBorder="1" applyAlignment="1">
      <alignment vertical="top"/>
    </xf>
    <xf numFmtId="188" fontId="1" fillId="0" borderId="0" xfId="1" applyNumberFormat="1" applyFont="1" applyFill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1" fillId="3" borderId="1" xfId="0" applyFont="1" applyFill="1" applyBorder="1">
      <alignment vertical="top"/>
    </xf>
    <xf numFmtId="0" fontId="1" fillId="3" borderId="3" xfId="0" applyFont="1" applyFill="1" applyBorder="1">
      <alignment vertical="top"/>
    </xf>
    <xf numFmtId="0" fontId="1" fillId="3" borderId="4" xfId="0" applyFont="1" applyFill="1" applyBorder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right" vertical="top" wrapText="1"/>
    </xf>
    <xf numFmtId="187" fontId="1" fillId="0" borderId="18" xfId="0" applyNumberFormat="1" applyFont="1" applyBorder="1" applyAlignment="1">
      <alignment horizontal="right" vertical="top" wrapText="1"/>
    </xf>
    <xf numFmtId="187" fontId="1" fillId="0" borderId="15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16" xfId="0" applyNumberFormat="1" applyFont="1" applyBorder="1" applyAlignment="1">
      <alignment horizontal="right" vertical="top" wrapText="1"/>
    </xf>
    <xf numFmtId="187" fontId="1" fillId="0" borderId="20" xfId="0" applyNumberFormat="1" applyFont="1" applyBorder="1" applyAlignment="1">
      <alignment horizontal="right" vertical="top" wrapText="1"/>
    </xf>
    <xf numFmtId="187" fontId="1" fillId="0" borderId="15" xfId="0" applyNumberFormat="1" applyFont="1" applyFill="1" applyBorder="1" applyAlignment="1">
      <alignment horizontal="right" vertical="top" wrapText="1"/>
    </xf>
    <xf numFmtId="187" fontId="11" fillId="0" borderId="15" xfId="0" applyNumberFormat="1" applyFont="1" applyBorder="1" applyAlignment="1">
      <alignment horizontal="right" vertical="top" wrapText="1"/>
    </xf>
    <xf numFmtId="187" fontId="11" fillId="0" borderId="19" xfId="0" applyNumberFormat="1" applyFont="1" applyBorder="1" applyAlignment="1">
      <alignment horizontal="right" vertical="top" wrapText="1"/>
    </xf>
    <xf numFmtId="187" fontId="1" fillId="0" borderId="17" xfId="0" applyNumberFormat="1" applyFont="1" applyBorder="1" applyAlignment="1">
      <alignment horizontal="right" vertical="top" wrapText="1"/>
    </xf>
    <xf numFmtId="187" fontId="3" fillId="0" borderId="15" xfId="0" applyNumberFormat="1" applyFont="1" applyFill="1" applyBorder="1" applyAlignment="1">
      <alignment horizontal="right" vertical="top" wrapText="1"/>
    </xf>
    <xf numFmtId="187" fontId="1" fillId="0" borderId="19" xfId="0" applyNumberFormat="1" applyFont="1" applyFill="1" applyBorder="1" applyAlignment="1">
      <alignment horizontal="right" vertical="top" wrapText="1"/>
    </xf>
    <xf numFmtId="187" fontId="1" fillId="3" borderId="15" xfId="0" applyNumberFormat="1" applyFont="1" applyFill="1" applyBorder="1" applyAlignment="1">
      <alignment horizontal="right" vertical="top" wrapText="1"/>
    </xf>
    <xf numFmtId="187" fontId="1" fillId="3" borderId="19" xfId="0" applyNumberFormat="1" applyFont="1" applyFill="1" applyBorder="1" applyAlignment="1">
      <alignment horizontal="right" vertical="top" wrapText="1"/>
    </xf>
    <xf numFmtId="187" fontId="12" fillId="0" borderId="15" xfId="0" applyNumberFormat="1" applyFont="1" applyBorder="1" applyAlignment="1">
      <alignment horizontal="right" vertical="top" wrapText="1"/>
    </xf>
    <xf numFmtId="187" fontId="12" fillId="0" borderId="19" xfId="0" applyNumberFormat="1" applyFont="1" applyBorder="1" applyAlignment="1">
      <alignment horizontal="right" vertical="top" wrapText="1"/>
    </xf>
    <xf numFmtId="187" fontId="3" fillId="0" borderId="15" xfId="0" applyNumberFormat="1" applyFont="1" applyBorder="1" applyAlignment="1">
      <alignment horizontal="right" vertical="top" wrapText="1"/>
    </xf>
    <xf numFmtId="187" fontId="3" fillId="0" borderId="19" xfId="0" applyNumberFormat="1" applyFont="1" applyBorder="1" applyAlignment="1">
      <alignment horizontal="right" vertical="top" wrapText="1"/>
    </xf>
    <xf numFmtId="187" fontId="11" fillId="0" borderId="15" xfId="0" applyNumberFormat="1" applyFont="1" applyFill="1" applyBorder="1" applyAlignment="1">
      <alignment horizontal="right" vertical="top" wrapText="1"/>
    </xf>
    <xf numFmtId="187" fontId="13" fillId="0" borderId="15" xfId="0" applyNumberFormat="1" applyFont="1" applyFill="1" applyBorder="1" applyAlignment="1">
      <alignment horizontal="right" vertical="top" wrapText="1"/>
    </xf>
    <xf numFmtId="187" fontId="13" fillId="0" borderId="19" xfId="0" applyNumberFormat="1" applyFont="1" applyBorder="1" applyAlignment="1">
      <alignment horizontal="right" vertical="top" wrapText="1"/>
    </xf>
    <xf numFmtId="187" fontId="5" fillId="0" borderId="0" xfId="0" applyNumberFormat="1" applyFont="1" applyFill="1" applyBorder="1" applyAlignment="1">
      <alignment horizontal="right" vertical="top"/>
    </xf>
    <xf numFmtId="187" fontId="1" fillId="0" borderId="0" xfId="0" applyNumberFormat="1" applyFont="1" applyBorder="1" applyAlignment="1">
      <alignment horizontal="right" vertical="top"/>
    </xf>
    <xf numFmtId="188" fontId="1" fillId="0" borderId="0" xfId="1" applyNumberFormat="1" applyFont="1" applyBorder="1" applyAlignment="1">
      <alignment horizontal="right" vertical="top"/>
    </xf>
    <xf numFmtId="187" fontId="1" fillId="0" borderId="0" xfId="0" applyNumberFormat="1" applyFont="1" applyAlignment="1">
      <alignment horizontal="right" vertical="top"/>
    </xf>
    <xf numFmtId="188" fontId="2" fillId="0" borderId="0" xfId="1" applyNumberFormat="1" applyFont="1" applyFill="1" applyAlignment="1">
      <alignment horizontal="right" vertical="top" wrapText="1"/>
    </xf>
    <xf numFmtId="188" fontId="1" fillId="0" borderId="0" xfId="1" applyNumberFormat="1" applyFont="1" applyFill="1" applyBorder="1" applyAlignment="1">
      <alignment horizontal="right" vertical="top"/>
    </xf>
    <xf numFmtId="188" fontId="1" fillId="0" borderId="0" xfId="1" applyNumberFormat="1" applyFont="1" applyFill="1" applyAlignment="1">
      <alignment horizontal="right" vertical="top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187" fontId="11" fillId="0" borderId="21" xfId="0" applyNumberFormat="1" applyFont="1" applyBorder="1" applyAlignment="1">
      <alignment horizontal="right" vertical="top" wrapText="1"/>
    </xf>
    <xf numFmtId="187" fontId="1" fillId="0" borderId="25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/>
    </xf>
    <xf numFmtId="187" fontId="1" fillId="4" borderId="19" xfId="0" applyNumberFormat="1" applyFont="1" applyFill="1" applyBorder="1" applyAlignment="1">
      <alignment horizontal="right" vertical="top" wrapText="1"/>
    </xf>
    <xf numFmtId="187" fontId="1" fillId="4" borderId="15" xfId="0" applyNumberFormat="1" applyFont="1" applyFill="1" applyBorder="1" applyAlignment="1">
      <alignment horizontal="right" vertical="top" wrapText="1"/>
    </xf>
    <xf numFmtId="187" fontId="1" fillId="0" borderId="26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87" fontId="1" fillId="0" borderId="2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187" fontId="1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187" fontId="1" fillId="0" borderId="16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horizontal="right" vertical="top" wrapText="1"/>
    </xf>
    <xf numFmtId="0" fontId="1" fillId="3" borderId="22" xfId="0" applyFont="1" applyFill="1" applyBorder="1">
      <alignment vertical="top"/>
    </xf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>
      <alignment vertical="top"/>
    </xf>
    <xf numFmtId="0" fontId="1" fillId="3" borderId="2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187" fontId="1" fillId="3" borderId="25" xfId="0" applyNumberFormat="1" applyFont="1" applyFill="1" applyBorder="1" applyAlignment="1">
      <alignment horizontal="right" vertical="top" wrapText="1"/>
    </xf>
    <xf numFmtId="0" fontId="1" fillId="4" borderId="12" xfId="0" applyFont="1" applyFill="1" applyBorder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4" borderId="14" xfId="0" applyFont="1" applyFill="1" applyBorder="1">
      <alignment vertical="top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187" fontId="1" fillId="4" borderId="18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87" fontId="1" fillId="0" borderId="21" xfId="0" applyNumberFormat="1" applyFont="1" applyFill="1" applyBorder="1" applyAlignment="1">
      <alignment horizontal="right" vertical="top" wrapText="1"/>
    </xf>
    <xf numFmtId="0" fontId="11" fillId="0" borderId="23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187" fontId="1" fillId="3" borderId="16" xfId="0" applyNumberFormat="1" applyFont="1" applyFill="1" applyBorder="1" applyAlignment="1">
      <alignment horizontal="right" vertical="top" wrapText="1"/>
    </xf>
    <xf numFmtId="187" fontId="1" fillId="3" borderId="20" xfId="0" applyNumberFormat="1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top" wrapText="1"/>
    </xf>
    <xf numFmtId="187" fontId="1" fillId="3" borderId="11" xfId="0" applyNumberFormat="1" applyFont="1" applyFill="1" applyBorder="1" applyAlignment="1">
      <alignment horizontal="right" vertical="top" wrapText="1"/>
    </xf>
    <xf numFmtId="187" fontId="1" fillId="3" borderId="18" xfId="0" applyNumberFormat="1" applyFont="1" applyFill="1" applyBorder="1" applyAlignment="1">
      <alignment horizontal="righ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187" fontId="11" fillId="0" borderId="21" xfId="0" applyNumberFormat="1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center" vertical="top" wrapText="1"/>
    </xf>
    <xf numFmtId="187" fontId="1" fillId="4" borderId="21" xfId="0" applyNumberFormat="1" applyFont="1" applyFill="1" applyBorder="1" applyAlignment="1">
      <alignment horizontal="right" vertical="top" wrapText="1"/>
    </xf>
    <xf numFmtId="187" fontId="1" fillId="4" borderId="25" xfId="0" applyNumberFormat="1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187" fontId="1" fillId="4" borderId="11" xfId="0" applyNumberFormat="1" applyFont="1" applyFill="1" applyBorder="1" applyAlignment="1">
      <alignment horizontal="right" vertical="top" wrapText="1"/>
    </xf>
    <xf numFmtId="0" fontId="1" fillId="3" borderId="22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 wrapText="1"/>
    </xf>
    <xf numFmtId="187" fontId="1" fillId="3" borderId="21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187" fontId="11" fillId="0" borderId="11" xfId="0" applyNumberFormat="1" applyFont="1" applyFill="1" applyBorder="1" applyAlignment="1">
      <alignment horizontal="righ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87" fontId="11" fillId="0" borderId="16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187" fontId="11" fillId="0" borderId="20" xfId="0" applyNumberFormat="1" applyFont="1" applyBorder="1" applyAlignment="1">
      <alignment horizontal="right" vertical="top" wrapText="1"/>
    </xf>
    <xf numFmtId="187" fontId="11" fillId="0" borderId="18" xfId="0" applyNumberFormat="1" applyFont="1" applyBorder="1" applyAlignment="1">
      <alignment horizontal="right" vertical="top" wrapText="1"/>
    </xf>
    <xf numFmtId="187" fontId="11" fillId="0" borderId="25" xfId="0" applyNumberFormat="1" applyFont="1" applyBorder="1" applyAlignment="1">
      <alignment horizontal="right" vertical="top" wrapText="1"/>
    </xf>
    <xf numFmtId="0" fontId="14" fillId="0" borderId="0" xfId="0" applyFont="1">
      <alignment vertical="top"/>
    </xf>
    <xf numFmtId="0" fontId="11" fillId="4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center" vertical="top"/>
    </xf>
    <xf numFmtId="0" fontId="11" fillId="4" borderId="14" xfId="0" applyFont="1" applyFill="1" applyBorder="1" applyAlignment="1">
      <alignment horizontal="left" vertical="top" wrapText="1"/>
    </xf>
    <xf numFmtId="187" fontId="1" fillId="3" borderId="3" xfId="0" applyNumberFormat="1" applyFont="1" applyFill="1" applyBorder="1" applyAlignment="1">
      <alignment horizontal="right" vertical="top" wrapText="1"/>
    </xf>
    <xf numFmtId="0" fontId="1" fillId="3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187" fontId="15" fillId="4" borderId="15" xfId="0" applyNumberFormat="1" applyFont="1" applyFill="1" applyBorder="1" applyAlignment="1">
      <alignment horizontal="right" vertical="top" wrapText="1"/>
    </xf>
    <xf numFmtId="187" fontId="15" fillId="4" borderId="19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top"/>
    </xf>
    <xf numFmtId="188" fontId="1" fillId="0" borderId="18" xfId="1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center" vertical="top"/>
    </xf>
    <xf numFmtId="188" fontId="1" fillId="0" borderId="19" xfId="1" applyNumberFormat="1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center" vertical="top"/>
    </xf>
    <xf numFmtId="188" fontId="1" fillId="0" borderId="20" xfId="1" applyNumberFormat="1" applyFont="1" applyFill="1" applyBorder="1" applyAlignment="1">
      <alignment horizontal="right" vertical="top"/>
    </xf>
    <xf numFmtId="0" fontId="11" fillId="0" borderId="4" xfId="0" applyFont="1" applyFill="1" applyBorder="1" applyAlignment="1">
      <alignment horizontal="center" vertical="top"/>
    </xf>
    <xf numFmtId="188" fontId="11" fillId="0" borderId="19" xfId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top"/>
    </xf>
    <xf numFmtId="188" fontId="11" fillId="0" borderId="26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188" fontId="12" fillId="0" borderId="19" xfId="1" applyNumberFormat="1" applyFont="1" applyFill="1" applyBorder="1" applyAlignment="1">
      <alignment horizontal="right" vertical="top"/>
    </xf>
    <xf numFmtId="0" fontId="13" fillId="0" borderId="4" xfId="0" applyFont="1" applyFill="1" applyBorder="1" applyAlignment="1">
      <alignment horizontal="center" vertical="top"/>
    </xf>
    <xf numFmtId="188" fontId="13" fillId="0" borderId="19" xfId="1" applyNumberFormat="1" applyFont="1" applyFill="1" applyBorder="1" applyAlignment="1">
      <alignment horizontal="right" vertical="top"/>
    </xf>
    <xf numFmtId="188" fontId="1" fillId="0" borderId="26" xfId="1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center" vertical="top"/>
    </xf>
    <xf numFmtId="188" fontId="1" fillId="0" borderId="25" xfId="1" applyNumberFormat="1" applyFont="1" applyFill="1" applyBorder="1" applyAlignment="1">
      <alignment horizontal="right" vertical="top"/>
    </xf>
    <xf numFmtId="0" fontId="2" fillId="0" borderId="27" xfId="0" applyFont="1" applyBorder="1" applyAlignment="1">
      <alignment horizontal="center" vertical="center" wrapText="1" readingOrder="1"/>
    </xf>
    <xf numFmtId="0" fontId="1" fillId="0" borderId="9" xfId="0" applyFont="1" applyBorder="1">
      <alignment vertical="top"/>
    </xf>
    <xf numFmtId="0" fontId="1" fillId="0" borderId="7" xfId="0" applyFont="1" applyBorder="1">
      <alignment vertical="top"/>
    </xf>
    <xf numFmtId="188" fontId="11" fillId="3" borderId="19" xfId="1" applyNumberFormat="1" applyFont="1" applyFill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1" fontId="1" fillId="3" borderId="28" xfId="0" applyNumberFormat="1" applyFont="1" applyFill="1" applyBorder="1" applyAlignment="1">
      <alignment horizontal="right" vertical="top" wrapText="1"/>
    </xf>
    <xf numFmtId="1" fontId="1" fillId="4" borderId="29" xfId="0" applyNumberFormat="1" applyFont="1" applyFill="1" applyBorder="1" applyAlignment="1">
      <alignment horizontal="right" vertical="top" wrapText="1"/>
    </xf>
    <xf numFmtId="1" fontId="1" fillId="3" borderId="29" xfId="0" applyNumberFormat="1" applyFont="1" applyFill="1" applyBorder="1" applyAlignment="1">
      <alignment horizontal="right" vertical="top" wrapText="1"/>
    </xf>
    <xf numFmtId="1" fontId="1" fillId="3" borderId="30" xfId="0" applyNumberFormat="1" applyFont="1" applyFill="1" applyBorder="1" applyAlignment="1">
      <alignment horizontal="right" vertical="top" wrapText="1"/>
    </xf>
    <xf numFmtId="1" fontId="1" fillId="3" borderId="31" xfId="0" applyNumberFormat="1" applyFont="1" applyFill="1" applyBorder="1" applyAlignment="1">
      <alignment horizontal="right" vertical="top" wrapText="1"/>
    </xf>
    <xf numFmtId="1" fontId="1" fillId="4" borderId="28" xfId="0" applyNumberFormat="1" applyFont="1" applyFill="1" applyBorder="1" applyAlignment="1">
      <alignment horizontal="right" vertical="top" wrapText="1"/>
    </xf>
    <xf numFmtId="1" fontId="1" fillId="4" borderId="31" xfId="0" applyNumberFormat="1" applyFont="1" applyFill="1" applyBorder="1" applyAlignment="1">
      <alignment horizontal="right" vertical="top" wrapText="1"/>
    </xf>
    <xf numFmtId="1" fontId="11" fillId="0" borderId="29" xfId="0" applyNumberFormat="1" applyFont="1" applyBorder="1" applyAlignment="1">
      <alignment horizontal="right" vertical="top" wrapText="1"/>
    </xf>
    <xf numFmtId="1" fontId="11" fillId="0" borderId="31" xfId="0" applyNumberFormat="1" applyFont="1" applyBorder="1" applyAlignment="1">
      <alignment horizontal="right" vertical="top" wrapText="1"/>
    </xf>
    <xf numFmtId="1" fontId="11" fillId="0" borderId="28" xfId="0" applyNumberFormat="1" applyFont="1" applyBorder="1" applyAlignment="1">
      <alignment horizontal="right" vertical="top" wrapText="1"/>
    </xf>
    <xf numFmtId="1" fontId="15" fillId="4" borderId="31" xfId="0" applyNumberFormat="1" applyFont="1" applyFill="1" applyBorder="1" applyAlignment="1">
      <alignment horizontal="right" vertical="top" wrapText="1"/>
    </xf>
    <xf numFmtId="1" fontId="12" fillId="0" borderId="3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188" fontId="11" fillId="0" borderId="18" xfId="1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188" fontId="1" fillId="0" borderId="19" xfId="1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188" fontId="1" fillId="0" borderId="25" xfId="1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/>
    </xf>
    <xf numFmtId="188" fontId="1" fillId="0" borderId="18" xfId="1" applyNumberFormat="1" applyFont="1" applyFill="1" applyBorder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88" fontId="11" fillId="0" borderId="25" xfId="1" applyNumberFormat="1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188" fontId="11" fillId="0" borderId="19" xfId="1" applyNumberFormat="1" applyFont="1" applyFill="1" applyBorder="1" applyAlignment="1">
      <alignment vertical="top"/>
    </xf>
    <xf numFmtId="0" fontId="1" fillId="3" borderId="11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88" fontId="1" fillId="0" borderId="20" xfId="1" applyNumberFormat="1" applyFont="1" applyFill="1" applyBorder="1" applyAlignment="1">
      <alignment vertical="top"/>
    </xf>
    <xf numFmtId="188" fontId="11" fillId="0" borderId="18" xfId="1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horizontal="center" vertical="top"/>
    </xf>
    <xf numFmtId="188" fontId="12" fillId="0" borderId="19" xfId="1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188" fontId="3" fillId="0" borderId="18" xfId="1" applyNumberFormat="1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188" fontId="11" fillId="0" borderId="19" xfId="1" applyNumberFormat="1" applyFont="1" applyFill="1" applyBorder="1" applyAlignment="1">
      <alignment horizontal="left" vertical="top"/>
    </xf>
    <xf numFmtId="0" fontId="15" fillId="4" borderId="15" xfId="0" applyFont="1" applyFill="1" applyBorder="1" applyAlignment="1">
      <alignment horizontal="center" vertical="top"/>
    </xf>
    <xf numFmtId="0" fontId="3" fillId="0" borderId="7" xfId="0" applyNumberFormat="1" applyFont="1" applyFill="1" applyBorder="1" applyAlignment="1"/>
    <xf numFmtId="0" fontId="3" fillId="0" borderId="8" xfId="0" quotePrefix="1" applyNumberFormat="1" applyFont="1" applyFill="1" applyBorder="1" applyAlignment="1"/>
    <xf numFmtId="0" fontId="1" fillId="0" borderId="9" xfId="0" applyFont="1" applyFill="1" applyBorder="1" applyAlignment="1"/>
    <xf numFmtId="0" fontId="3" fillId="0" borderId="8" xfId="0" quotePrefix="1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88" fontId="1" fillId="0" borderId="20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87" fontId="1" fillId="0" borderId="17" xfId="0" applyNumberFormat="1" applyFont="1" applyFill="1" applyBorder="1" applyAlignment="1">
      <alignment horizontal="right" vertical="top" wrapText="1"/>
    </xf>
    <xf numFmtId="188" fontId="11" fillId="0" borderId="20" xfId="1" applyNumberFormat="1" applyFont="1" applyFill="1" applyBorder="1" applyAlignment="1">
      <alignment horizontal="right" vertical="top"/>
    </xf>
    <xf numFmtId="188" fontId="11" fillId="0" borderId="25" xfId="1" applyNumberFormat="1" applyFont="1" applyFill="1" applyBorder="1" applyAlignment="1">
      <alignment horizontal="right" vertical="top"/>
    </xf>
    <xf numFmtId="188" fontId="11" fillId="0" borderId="18" xfId="1" applyNumberFormat="1" applyFont="1" applyFill="1" applyBorder="1" applyAlignment="1">
      <alignment horizontal="right" vertical="top"/>
    </xf>
    <xf numFmtId="0" fontId="1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3" fillId="0" borderId="7" xfId="6" quotePrefix="1" applyNumberFormat="1" applyFont="1" applyFill="1" applyBorder="1"/>
    <xf numFmtId="0" fontId="3" fillId="0" borderId="8" xfId="6" applyNumberFormat="1" applyFont="1" applyFill="1" applyBorder="1"/>
    <xf numFmtId="0" fontId="3" fillId="0" borderId="9" xfId="8" quotePrefix="1" applyNumberFormat="1" applyFont="1" applyFill="1" applyBorder="1"/>
    <xf numFmtId="0" fontId="1" fillId="0" borderId="8" xfId="6" applyFont="1" applyFill="1" applyBorder="1" applyAlignment="1">
      <alignment horizontal="center"/>
    </xf>
    <xf numFmtId="0" fontId="1" fillId="0" borderId="16" xfId="6" applyFont="1" applyFill="1" applyBorder="1" applyAlignment="1">
      <alignment horizontal="right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87" fontId="3" fillId="0" borderId="16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/>
    </xf>
    <xf numFmtId="0" fontId="1" fillId="0" borderId="2" xfId="0" applyFont="1" applyFill="1" applyBorder="1">
      <alignment vertical="top"/>
    </xf>
    <xf numFmtId="0" fontId="1" fillId="0" borderId="5" xfId="0" applyFont="1" applyFill="1" applyBorder="1">
      <alignment vertical="top"/>
    </xf>
    <xf numFmtId="0" fontId="1" fillId="0" borderId="6" xfId="0" applyFont="1" applyFill="1" applyBorder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87" fontId="3" fillId="0" borderId="17" xfId="0" applyNumberFormat="1" applyFont="1" applyFill="1" applyBorder="1" applyAlignment="1">
      <alignment horizontal="right" vertical="top" wrapText="1"/>
    </xf>
    <xf numFmtId="187" fontId="1" fillId="0" borderId="26" xfId="0" applyNumberFormat="1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center" vertical="top"/>
    </xf>
    <xf numFmtId="188" fontId="11" fillId="3" borderId="25" xfId="1" applyNumberFormat="1" applyFont="1" applyFill="1" applyBorder="1" applyAlignment="1">
      <alignment horizontal="right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187" fontId="12" fillId="0" borderId="21" xfId="0" applyNumberFormat="1" applyFont="1" applyBorder="1" applyAlignment="1">
      <alignment horizontal="right" vertical="top" wrapText="1"/>
    </xf>
    <xf numFmtId="187" fontId="12" fillId="0" borderId="25" xfId="0" applyNumberFormat="1" applyFont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/>
    </xf>
    <xf numFmtId="188" fontId="12" fillId="0" borderId="25" xfId="1" applyNumberFormat="1" applyFont="1" applyFill="1" applyBorder="1" applyAlignment="1">
      <alignment horizontal="right" vertical="top"/>
    </xf>
    <xf numFmtId="0" fontId="1" fillId="0" borderId="22" xfId="0" applyFont="1" applyFill="1" applyBorder="1">
      <alignment vertical="top"/>
    </xf>
    <xf numFmtId="0" fontId="1" fillId="0" borderId="23" xfId="0" applyFont="1" applyFill="1" applyBorder="1">
      <alignment vertical="top"/>
    </xf>
    <xf numFmtId="0" fontId="1" fillId="0" borderId="24" xfId="0" applyFont="1" applyFill="1" applyBorder="1">
      <alignment vertical="top"/>
    </xf>
    <xf numFmtId="0" fontId="1" fillId="0" borderId="5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87" fontId="12" fillId="0" borderId="16" xfId="0" applyNumberFormat="1" applyFont="1" applyBorder="1" applyAlignment="1">
      <alignment horizontal="right" vertical="top" wrapText="1"/>
    </xf>
    <xf numFmtId="187" fontId="12" fillId="0" borderId="20" xfId="0" applyNumberFormat="1" applyFont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/>
    </xf>
    <xf numFmtId="188" fontId="12" fillId="0" borderId="20" xfId="1" applyNumberFormat="1" applyFont="1" applyFill="1" applyBorder="1" applyAlignment="1">
      <alignment horizontal="right" vertical="top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top"/>
    </xf>
    <xf numFmtId="188" fontId="11" fillId="3" borderId="20" xfId="1" applyNumberFormat="1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187" fontId="13" fillId="0" borderId="17" xfId="0" applyNumberFormat="1" applyFont="1" applyFill="1" applyBorder="1" applyAlignment="1">
      <alignment horizontal="right" vertical="top" wrapText="1"/>
    </xf>
    <xf numFmtId="187" fontId="13" fillId="0" borderId="26" xfId="0" applyNumberFormat="1" applyFont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top"/>
    </xf>
    <xf numFmtId="188" fontId="13" fillId="0" borderId="26" xfId="1" applyNumberFormat="1" applyFont="1" applyFill="1" applyBorder="1" applyAlignment="1">
      <alignment horizontal="right" vertical="top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87" fontId="11" fillId="0" borderId="17" xfId="0" applyNumberFormat="1" applyFont="1" applyBorder="1" applyAlignment="1">
      <alignment horizontal="right" vertical="top" wrapText="1"/>
    </xf>
    <xf numFmtId="187" fontId="11" fillId="0" borderId="26" xfId="0" applyNumberFormat="1" applyFont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/>
    </xf>
    <xf numFmtId="188" fontId="1" fillId="3" borderId="20" xfId="1" applyNumberFormat="1" applyFont="1" applyFill="1" applyBorder="1" applyAlignment="1">
      <alignment horizontal="right" vertical="top"/>
    </xf>
    <xf numFmtId="0" fontId="3" fillId="0" borderId="5" xfId="7" applyNumberFormat="1" applyFont="1" applyFill="1" applyBorder="1"/>
    <xf numFmtId="0" fontId="3" fillId="0" borderId="6" xfId="7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2" xfId="7" quotePrefix="1" applyNumberFormat="1" applyFont="1" applyFill="1" applyBorder="1"/>
    <xf numFmtId="188" fontId="2" fillId="0" borderId="34" xfId="1" applyNumberFormat="1" applyFont="1" applyBorder="1" applyAlignment="1">
      <alignment horizontal="center" vertical="center" wrapText="1" readingOrder="1"/>
    </xf>
    <xf numFmtId="187" fontId="2" fillId="0" borderId="41" xfId="0" applyNumberFormat="1" applyFont="1" applyBorder="1" applyAlignment="1">
      <alignment horizontal="center" vertical="center" wrapText="1" readingOrder="1"/>
    </xf>
    <xf numFmtId="187" fontId="2" fillId="0" borderId="42" xfId="0" applyNumberFormat="1" applyFont="1" applyBorder="1" applyAlignment="1">
      <alignment horizontal="center" vertical="center" wrapText="1" readingOrder="1"/>
    </xf>
    <xf numFmtId="188" fontId="2" fillId="0" borderId="43" xfId="1" applyNumberFormat="1" applyFont="1" applyBorder="1" applyAlignment="1">
      <alignment horizontal="center" vertical="center" wrapText="1" readingOrder="1"/>
    </xf>
    <xf numFmtId="1" fontId="1" fillId="0" borderId="31" xfId="0" applyNumberFormat="1" applyFont="1" applyBorder="1" applyAlignment="1">
      <alignment horizontal="right" vertical="top" wrapText="1"/>
    </xf>
    <xf numFmtId="1" fontId="1" fillId="0" borderId="28" xfId="0" applyNumberFormat="1" applyFont="1" applyBorder="1" applyAlignment="1">
      <alignment horizontal="right" vertical="top" wrapText="1"/>
    </xf>
    <xf numFmtId="1" fontId="1" fillId="0" borderId="29" xfId="0" applyNumberFormat="1" applyFont="1" applyBorder="1" applyAlignment="1">
      <alignment horizontal="right" vertical="top" wrapText="1"/>
    </xf>
    <xf numFmtId="187" fontId="1" fillId="3" borderId="21" xfId="0" applyNumberFormat="1" applyFont="1" applyFill="1" applyBorder="1" applyAlignment="1">
      <alignment horizontal="right" vertical="top"/>
    </xf>
    <xf numFmtId="187" fontId="1" fillId="4" borderId="11" xfId="0" applyNumberFormat="1" applyFont="1" applyFill="1" applyBorder="1" applyAlignment="1">
      <alignment horizontal="right" vertical="top"/>
    </xf>
    <xf numFmtId="187" fontId="11" fillId="0" borderId="21" xfId="0" applyNumberFormat="1" applyFont="1" applyBorder="1" applyAlignment="1">
      <alignment horizontal="right" vertical="center" wrapText="1"/>
    </xf>
    <xf numFmtId="187" fontId="11" fillId="0" borderId="25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" fillId="0" borderId="45" xfId="0" applyNumberFormat="1" applyFont="1" applyBorder="1" applyAlignment="1">
      <alignment horizontal="right" vertical="top" wrapText="1"/>
    </xf>
    <xf numFmtId="187" fontId="1" fillId="0" borderId="13" xfId="0" applyNumberFormat="1" applyFont="1" applyBorder="1" applyAlignment="1">
      <alignment horizontal="right" vertical="top" wrapText="1"/>
    </xf>
    <xf numFmtId="187" fontId="1" fillId="0" borderId="3" xfId="0" applyNumberFormat="1" applyFont="1" applyBorder="1" applyAlignment="1">
      <alignment horizontal="right" vertical="top" wrapText="1"/>
    </xf>
    <xf numFmtId="1" fontId="1" fillId="0" borderId="30" xfId="0" applyNumberFormat="1" applyFont="1" applyBorder="1" applyAlignment="1">
      <alignment horizontal="right" vertical="top" wrapText="1"/>
    </xf>
    <xf numFmtId="187" fontId="1" fillId="0" borderId="23" xfId="0" applyNumberFormat="1" applyFont="1" applyBorder="1" applyAlignment="1">
      <alignment horizontal="right" vertical="top" wrapText="1"/>
    </xf>
    <xf numFmtId="1" fontId="1" fillId="0" borderId="46" xfId="0" applyNumberFormat="1" applyFont="1" applyBorder="1" applyAlignment="1">
      <alignment horizontal="right" vertical="top" wrapText="1"/>
    </xf>
    <xf numFmtId="187" fontId="1" fillId="0" borderId="15" xfId="0" applyNumberFormat="1" applyFont="1" applyBorder="1" applyAlignment="1">
      <alignment horizontal="right" vertical="top"/>
    </xf>
    <xf numFmtId="187" fontId="1" fillId="0" borderId="19" xfId="0" applyNumberFormat="1" applyFont="1" applyBorder="1" applyAlignment="1">
      <alignment horizontal="right" vertical="top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5" xfId="0" applyNumberFormat="1" applyFont="1" applyBorder="1" applyAlignment="1">
      <alignment horizontal="right" vertical="top" wrapText="1"/>
    </xf>
    <xf numFmtId="187" fontId="3" fillId="0" borderId="11" xfId="0" applyNumberFormat="1" applyFont="1" applyBorder="1" applyAlignment="1">
      <alignment horizontal="right" vertical="top" wrapText="1"/>
    </xf>
    <xf numFmtId="187" fontId="3" fillId="0" borderId="18" xfId="0" applyNumberFormat="1" applyFont="1" applyBorder="1" applyAlignment="1">
      <alignment horizontal="right" vertical="top" wrapText="1"/>
    </xf>
    <xf numFmtId="1" fontId="3" fillId="0" borderId="29" xfId="0" applyNumberFormat="1" applyFont="1" applyBorder="1" applyAlignment="1">
      <alignment horizontal="right" vertical="top" wrapText="1"/>
    </xf>
    <xf numFmtId="1" fontId="3" fillId="0" borderId="31" xfId="0" applyNumberFormat="1" applyFont="1" applyBorder="1" applyAlignment="1">
      <alignment horizontal="right" vertical="top" wrapText="1"/>
    </xf>
    <xf numFmtId="187" fontId="3" fillId="0" borderId="21" xfId="0" applyNumberFormat="1" applyFont="1" applyBorder="1" applyAlignment="1">
      <alignment horizontal="right" vertical="top" wrapText="1"/>
    </xf>
    <xf numFmtId="187" fontId="3" fillId="0" borderId="25" xfId="0" applyNumberFormat="1" applyFont="1" applyBorder="1" applyAlignment="1">
      <alignment horizontal="right" vertical="top" wrapText="1"/>
    </xf>
    <xf numFmtId="1" fontId="3" fillId="0" borderId="28" xfId="0" applyNumberFormat="1" applyFont="1" applyBorder="1" applyAlignment="1">
      <alignment horizontal="right" vertical="top" wrapText="1"/>
    </xf>
    <xf numFmtId="187" fontId="1" fillId="2" borderId="15" xfId="0" applyNumberFormat="1" applyFont="1" applyFill="1" applyBorder="1" applyAlignment="1">
      <alignment horizontal="right" vertical="top" wrapText="1"/>
    </xf>
    <xf numFmtId="187" fontId="1" fillId="2" borderId="21" xfId="0" applyNumberFormat="1" applyFont="1" applyFill="1" applyBorder="1" applyAlignment="1">
      <alignment horizontal="right" vertical="top" wrapText="1"/>
    </xf>
    <xf numFmtId="187" fontId="15" fillId="0" borderId="11" xfId="0" applyNumberFormat="1" applyFont="1" applyFill="1" applyBorder="1" applyAlignment="1">
      <alignment horizontal="right" vertical="top" wrapText="1"/>
    </xf>
    <xf numFmtId="187" fontId="15" fillId="0" borderId="18" xfId="0" applyNumberFormat="1" applyFont="1" applyBorder="1" applyAlignment="1">
      <alignment horizontal="right" vertical="top" wrapText="1"/>
    </xf>
    <xf numFmtId="1" fontId="15" fillId="0" borderId="29" xfId="0" applyNumberFormat="1" applyFont="1" applyBorder="1" applyAlignment="1">
      <alignment horizontal="right" vertical="top" wrapText="1"/>
    </xf>
    <xf numFmtId="187" fontId="15" fillId="0" borderId="15" xfId="0" applyNumberFormat="1" applyFont="1" applyFill="1" applyBorder="1" applyAlignment="1">
      <alignment horizontal="right" vertical="top" wrapText="1"/>
    </xf>
    <xf numFmtId="187" fontId="15" fillId="0" borderId="19" xfId="0" applyNumberFormat="1" applyFont="1" applyBorder="1" applyAlignment="1">
      <alignment horizontal="right" vertical="top" wrapText="1"/>
    </xf>
    <xf numFmtId="1" fontId="15" fillId="0" borderId="31" xfId="0" applyNumberFormat="1" applyFont="1" applyBorder="1" applyAlignment="1">
      <alignment horizontal="right" vertical="top" wrapText="1"/>
    </xf>
    <xf numFmtId="3" fontId="2" fillId="0" borderId="47" xfId="1" applyNumberFormat="1" applyFont="1" applyBorder="1" applyAlignment="1">
      <alignment horizontal="center" vertical="center" wrapText="1" readingOrder="1"/>
    </xf>
    <xf numFmtId="3" fontId="2" fillId="0" borderId="48" xfId="1" applyNumberFormat="1" applyFont="1" applyBorder="1" applyAlignment="1">
      <alignment horizontal="center" vertical="center" wrapText="1" readingOrder="1"/>
    </xf>
    <xf numFmtId="3" fontId="11" fillId="0" borderId="49" xfId="0" applyNumberFormat="1" applyFont="1" applyBorder="1" applyAlignment="1">
      <alignment horizontal="right" vertical="top" wrapText="1"/>
    </xf>
    <xf numFmtId="3" fontId="1" fillId="0" borderId="50" xfId="0" applyNumberFormat="1" applyFont="1" applyBorder="1" applyAlignment="1">
      <alignment horizontal="right" vertical="top" wrapText="1"/>
    </xf>
    <xf numFmtId="3" fontId="1" fillId="0" borderId="49" xfId="0" applyNumberFormat="1" applyFont="1" applyBorder="1" applyAlignment="1">
      <alignment horizontal="right" vertical="top" wrapText="1"/>
    </xf>
    <xf numFmtId="3" fontId="1" fillId="0" borderId="51" xfId="0" applyNumberFormat="1" applyFont="1" applyBorder="1" applyAlignment="1">
      <alignment horizontal="right" vertical="top" wrapText="1"/>
    </xf>
    <xf numFmtId="3" fontId="1" fillId="0" borderId="49" xfId="1" applyNumberFormat="1" applyFont="1" applyBorder="1" applyAlignment="1">
      <alignment horizontal="right" vertical="top" wrapText="1"/>
    </xf>
    <xf numFmtId="3" fontId="1" fillId="0" borderId="50" xfId="1" applyNumberFormat="1" applyFont="1" applyBorder="1" applyAlignment="1">
      <alignment horizontal="right" vertical="top" wrapText="1"/>
    </xf>
    <xf numFmtId="3" fontId="1" fillId="0" borderId="51" xfId="1" applyNumberFormat="1" applyFont="1" applyBorder="1" applyAlignment="1">
      <alignment horizontal="right" vertical="top" wrapText="1"/>
    </xf>
    <xf numFmtId="3" fontId="1" fillId="3" borderId="51" xfId="1" applyNumberFormat="1" applyFont="1" applyFill="1" applyBorder="1" applyAlignment="1">
      <alignment horizontal="right" vertical="top" wrapText="1"/>
    </xf>
    <xf numFmtId="3" fontId="1" fillId="4" borderId="49" xfId="1" applyNumberFormat="1" applyFont="1" applyFill="1" applyBorder="1" applyAlignment="1">
      <alignment horizontal="right" vertical="top" wrapText="1"/>
    </xf>
    <xf numFmtId="3" fontId="11" fillId="0" borderId="51" xfId="1" applyNumberFormat="1" applyFont="1" applyBorder="1" applyAlignment="1">
      <alignment horizontal="right" vertical="top" wrapText="1"/>
    </xf>
    <xf numFmtId="3" fontId="11" fillId="0" borderId="51" xfId="1" applyNumberFormat="1" applyFont="1" applyBorder="1" applyAlignment="1">
      <alignment horizontal="right" vertical="center" wrapText="1"/>
    </xf>
    <xf numFmtId="3" fontId="11" fillId="0" borderId="50" xfId="1" applyNumberFormat="1" applyFont="1" applyBorder="1" applyAlignment="1">
      <alignment horizontal="right" vertical="top" wrapText="1"/>
    </xf>
    <xf numFmtId="3" fontId="1" fillId="3" borderId="49" xfId="1" applyNumberFormat="1" applyFont="1" applyFill="1" applyBorder="1" applyAlignment="1">
      <alignment horizontal="right" vertical="top" wrapText="1"/>
    </xf>
    <xf numFmtId="3" fontId="1" fillId="3" borderId="50" xfId="1" applyNumberFormat="1" applyFont="1" applyFill="1" applyBorder="1" applyAlignment="1">
      <alignment horizontal="right" vertical="top" wrapText="1"/>
    </xf>
    <xf numFmtId="3" fontId="11" fillId="0" borderId="49" xfId="1" applyNumberFormat="1" applyFont="1" applyBorder="1" applyAlignment="1">
      <alignment horizontal="right" vertical="top" wrapText="1"/>
    </xf>
    <xf numFmtId="3" fontId="12" fillId="0" borderId="50" xfId="1" applyNumberFormat="1" applyFont="1" applyBorder="1" applyAlignment="1">
      <alignment horizontal="right" vertical="top" wrapText="1"/>
    </xf>
    <xf numFmtId="3" fontId="3" fillId="0" borderId="49" xfId="1" applyNumberFormat="1" applyFont="1" applyBorder="1" applyAlignment="1">
      <alignment horizontal="right" vertical="top" wrapText="1"/>
    </xf>
    <xf numFmtId="3" fontId="3" fillId="0" borderId="50" xfId="1" applyNumberFormat="1" applyFont="1" applyBorder="1" applyAlignment="1">
      <alignment horizontal="right" vertical="top" wrapText="1"/>
    </xf>
    <xf numFmtId="3" fontId="3" fillId="0" borderId="51" xfId="1" applyNumberFormat="1" applyFont="1" applyBorder="1" applyAlignment="1">
      <alignment horizontal="right" vertical="top" wrapText="1"/>
    </xf>
    <xf numFmtId="3" fontId="15" fillId="0" borderId="49" xfId="1" applyNumberFormat="1" applyFont="1" applyBorder="1" applyAlignment="1">
      <alignment horizontal="right" vertical="top" wrapText="1"/>
    </xf>
    <xf numFmtId="3" fontId="15" fillId="0" borderId="50" xfId="1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2" fillId="0" borderId="43" xfId="0" applyNumberFormat="1" applyFont="1" applyBorder="1" applyAlignment="1">
      <alignment horizontal="center" vertical="center" wrapText="1" readingOrder="1"/>
    </xf>
    <xf numFmtId="3" fontId="2" fillId="0" borderId="43" xfId="1" applyNumberFormat="1" applyFont="1" applyBorder="1" applyAlignment="1">
      <alignment horizontal="center" vertical="center" wrapText="1" readingOrder="1"/>
    </xf>
    <xf numFmtId="3" fontId="1" fillId="0" borderId="52" xfId="1" applyNumberFormat="1" applyFont="1" applyBorder="1" applyAlignment="1">
      <alignment horizontal="right" vertical="top" wrapText="1"/>
    </xf>
    <xf numFmtId="3" fontId="1" fillId="0" borderId="29" xfId="1" applyNumberFormat="1" applyFont="1" applyBorder="1" applyAlignment="1">
      <alignment horizontal="right" vertical="top" wrapText="1"/>
    </xf>
    <xf numFmtId="3" fontId="1" fillId="0" borderId="53" xfId="1" applyNumberFormat="1" applyFont="1" applyBorder="1" applyAlignment="1">
      <alignment horizontal="right" vertical="top" wrapText="1"/>
    </xf>
    <xf numFmtId="3" fontId="1" fillId="0" borderId="31" xfId="1" applyNumberFormat="1" applyFont="1" applyBorder="1" applyAlignment="1">
      <alignment horizontal="right" vertical="top" wrapText="1"/>
    </xf>
    <xf numFmtId="3" fontId="1" fillId="0" borderId="54" xfId="1" applyNumberFormat="1" applyFont="1" applyBorder="1" applyAlignment="1">
      <alignment horizontal="right" vertical="top" wrapText="1"/>
    </xf>
    <xf numFmtId="3" fontId="1" fillId="0" borderId="28" xfId="1" applyNumberFormat="1" applyFont="1" applyBorder="1" applyAlignment="1">
      <alignment horizontal="right" vertical="top" wrapText="1"/>
    </xf>
    <xf numFmtId="3" fontId="1" fillId="0" borderId="46" xfId="1" applyNumberFormat="1" applyFont="1" applyBorder="1" applyAlignment="1">
      <alignment horizontal="right" vertical="top" wrapText="1"/>
    </xf>
    <xf numFmtId="3" fontId="1" fillId="0" borderId="55" xfId="1" applyNumberFormat="1" applyFont="1" applyBorder="1" applyAlignment="1">
      <alignment horizontal="right" vertical="top" wrapText="1"/>
    </xf>
    <xf numFmtId="3" fontId="1" fillId="0" borderId="45" xfId="1" applyNumberFormat="1" applyFont="1" applyBorder="1" applyAlignment="1">
      <alignment horizontal="right" vertical="top" wrapText="1"/>
    </xf>
    <xf numFmtId="3" fontId="1" fillId="0" borderId="56" xfId="1" applyNumberFormat="1" applyFont="1" applyBorder="1" applyAlignment="1">
      <alignment horizontal="right" vertical="top" wrapText="1"/>
    </xf>
    <xf numFmtId="3" fontId="1" fillId="0" borderId="57" xfId="1" applyNumberFormat="1" applyFont="1" applyBorder="1" applyAlignment="1">
      <alignment horizontal="right" vertical="top" wrapText="1"/>
    </xf>
    <xf numFmtId="3" fontId="1" fillId="0" borderId="58" xfId="1" applyNumberFormat="1" applyFont="1" applyBorder="1" applyAlignment="1">
      <alignment horizontal="right" vertical="top" wrapText="1"/>
    </xf>
    <xf numFmtId="3" fontId="11" fillId="0" borderId="56" xfId="1" applyNumberFormat="1" applyFont="1" applyBorder="1" applyAlignment="1">
      <alignment horizontal="right" vertical="top" wrapText="1"/>
    </xf>
    <xf numFmtId="3" fontId="11" fillId="0" borderId="31" xfId="1" applyNumberFormat="1" applyFont="1" applyBorder="1" applyAlignment="1">
      <alignment horizontal="right" vertical="top" wrapText="1"/>
    </xf>
    <xf numFmtId="3" fontId="11" fillId="0" borderId="52" xfId="1" applyNumberFormat="1" applyFont="1" applyBorder="1" applyAlignment="1">
      <alignment horizontal="right" vertical="top" wrapText="1"/>
    </xf>
    <xf numFmtId="3" fontId="11" fillId="0" borderId="29" xfId="1" applyNumberFormat="1" applyFont="1" applyBorder="1" applyAlignment="1">
      <alignment horizontal="right" vertical="top" wrapText="1"/>
    </xf>
    <xf numFmtId="3" fontId="11" fillId="0" borderId="57" xfId="1" applyNumberFormat="1" applyFont="1" applyBorder="1" applyAlignment="1">
      <alignment horizontal="right" vertical="top" wrapText="1"/>
    </xf>
    <xf numFmtId="3" fontId="11" fillId="0" borderId="28" xfId="1" applyNumberFormat="1" applyFont="1" applyBorder="1" applyAlignment="1">
      <alignment horizontal="right" vertical="top" wrapText="1"/>
    </xf>
    <xf numFmtId="3" fontId="1" fillId="3" borderId="57" xfId="1" applyNumberFormat="1" applyFont="1" applyFill="1" applyBorder="1" applyAlignment="1">
      <alignment horizontal="right" vertical="top" wrapText="1"/>
    </xf>
    <xf numFmtId="3" fontId="1" fillId="3" borderId="28" xfId="1" applyNumberFormat="1" applyFont="1" applyFill="1" applyBorder="1" applyAlignment="1">
      <alignment horizontal="right" vertical="top" wrapText="1"/>
    </xf>
    <xf numFmtId="3" fontId="12" fillId="0" borderId="57" xfId="1" applyNumberFormat="1" applyFont="1" applyBorder="1" applyAlignment="1">
      <alignment horizontal="right" vertical="top" wrapText="1"/>
    </xf>
    <xf numFmtId="3" fontId="12" fillId="0" borderId="28" xfId="1" applyNumberFormat="1" applyFont="1" applyBorder="1" applyAlignment="1">
      <alignment horizontal="right" vertical="top" wrapText="1"/>
    </xf>
    <xf numFmtId="3" fontId="3" fillId="0" borderId="56" xfId="1" applyNumberFormat="1" applyFont="1" applyBorder="1" applyAlignment="1">
      <alignment horizontal="right" vertical="top" wrapText="1"/>
    </xf>
    <xf numFmtId="3" fontId="12" fillId="0" borderId="56" xfId="1" applyNumberFormat="1" applyFont="1" applyBorder="1" applyAlignment="1">
      <alignment horizontal="right" vertical="top" wrapText="1"/>
    </xf>
    <xf numFmtId="3" fontId="12" fillId="0" borderId="31" xfId="1" applyNumberFormat="1" applyFont="1" applyBorder="1" applyAlignment="1">
      <alignment horizontal="right" vertical="top" wrapText="1"/>
    </xf>
    <xf numFmtId="3" fontId="11" fillId="0" borderId="53" xfId="1" applyNumberFormat="1" applyFont="1" applyBorder="1" applyAlignment="1">
      <alignment horizontal="right" vertical="top" wrapText="1"/>
    </xf>
    <xf numFmtId="3" fontId="11" fillId="0" borderId="46" xfId="1" applyNumberFormat="1" applyFont="1" applyBorder="1" applyAlignment="1">
      <alignment horizontal="right" vertical="top" wrapText="1"/>
    </xf>
    <xf numFmtId="3" fontId="12" fillId="0" borderId="53" xfId="1" applyNumberFormat="1" applyFont="1" applyBorder="1" applyAlignment="1">
      <alignment horizontal="right" vertical="top" wrapText="1"/>
    </xf>
    <xf numFmtId="3" fontId="12" fillId="0" borderId="46" xfId="1" applyNumberFormat="1" applyFont="1" applyBorder="1" applyAlignment="1">
      <alignment horizontal="right" vertical="top" wrapText="1"/>
    </xf>
    <xf numFmtId="3" fontId="1" fillId="3" borderId="53" xfId="1" applyNumberFormat="1" applyFont="1" applyFill="1" applyBorder="1" applyAlignment="1">
      <alignment horizontal="right" vertical="top" wrapText="1"/>
    </xf>
    <xf numFmtId="3" fontId="1" fillId="3" borderId="46" xfId="1" applyNumberFormat="1" applyFont="1" applyFill="1" applyBorder="1" applyAlignment="1">
      <alignment horizontal="right" vertical="top" wrapText="1"/>
    </xf>
    <xf numFmtId="3" fontId="13" fillId="0" borderId="56" xfId="1" applyNumberFormat="1" applyFont="1" applyBorder="1" applyAlignment="1">
      <alignment horizontal="right" vertical="top" wrapText="1"/>
    </xf>
    <xf numFmtId="3" fontId="13" fillId="0" borderId="31" xfId="1" applyNumberFormat="1" applyFont="1" applyBorder="1" applyAlignment="1">
      <alignment horizontal="right" vertical="top" wrapText="1"/>
    </xf>
    <xf numFmtId="3" fontId="1" fillId="3" borderId="56" xfId="1" applyNumberFormat="1" applyFont="1" applyFill="1" applyBorder="1" applyAlignment="1">
      <alignment horizontal="right" vertical="top" wrapText="1"/>
    </xf>
    <xf numFmtId="3" fontId="1" fillId="3" borderId="31" xfId="1" applyNumberFormat="1" applyFont="1" applyFill="1" applyBorder="1" applyAlignment="1">
      <alignment horizontal="right" vertical="top" wrapText="1"/>
    </xf>
    <xf numFmtId="3" fontId="13" fillId="0" borderId="58" xfId="1" applyNumberFormat="1" applyFont="1" applyBorder="1" applyAlignment="1">
      <alignment horizontal="right" vertical="top" wrapText="1"/>
    </xf>
    <xf numFmtId="3" fontId="11" fillId="0" borderId="58" xfId="1" applyNumberFormat="1" applyFont="1" applyBorder="1" applyAlignment="1">
      <alignment horizontal="right" vertical="top" wrapText="1"/>
    </xf>
    <xf numFmtId="3" fontId="11" fillId="0" borderId="45" xfId="1" applyNumberFormat="1" applyFont="1" applyBorder="1" applyAlignment="1">
      <alignment horizontal="right" vertical="top" wrapText="1"/>
    </xf>
    <xf numFmtId="3" fontId="2" fillId="5" borderId="44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horizontal="right" vertical="top"/>
    </xf>
    <xf numFmtId="3" fontId="1" fillId="0" borderId="0" xfId="1" applyNumberFormat="1" applyFont="1" applyBorder="1" applyAlignment="1">
      <alignment horizontal="right" vertical="top"/>
    </xf>
    <xf numFmtId="3" fontId="1" fillId="0" borderId="1" xfId="1" applyNumberFormat="1" applyFont="1" applyBorder="1" applyAlignment="1">
      <alignment horizontal="right" vertical="top"/>
    </xf>
    <xf numFmtId="3" fontId="1" fillId="0" borderId="0" xfId="1" applyNumberFormat="1" applyFont="1" applyAlignment="1">
      <alignment horizontal="right" vertical="top"/>
    </xf>
    <xf numFmtId="3" fontId="2" fillId="0" borderId="34" xfId="1" applyNumberFormat="1" applyFont="1" applyBorder="1" applyAlignment="1">
      <alignment horizontal="center" vertical="center" wrapText="1" readingOrder="1"/>
    </xf>
    <xf numFmtId="3" fontId="2" fillId="0" borderId="59" xfId="1" applyNumberFormat="1" applyFont="1" applyBorder="1" applyAlignment="1">
      <alignment horizontal="center" vertical="center" wrapText="1" readingOrder="1"/>
    </xf>
    <xf numFmtId="3" fontId="1" fillId="0" borderId="7" xfId="1" applyNumberFormat="1" applyFont="1" applyBorder="1" applyAlignment="1">
      <alignment horizontal="right" vertical="top"/>
    </xf>
    <xf numFmtId="0" fontId="4" fillId="0" borderId="0" xfId="0" applyFo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>
      <alignment vertical="top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187" fontId="1" fillId="6" borderId="16" xfId="0" applyNumberFormat="1" applyFont="1" applyFill="1" applyBorder="1" applyAlignment="1">
      <alignment horizontal="right" vertical="top" wrapText="1"/>
    </xf>
    <xf numFmtId="187" fontId="1" fillId="6" borderId="20" xfId="0" applyNumberFormat="1" applyFont="1" applyFill="1" applyBorder="1" applyAlignment="1">
      <alignment horizontal="right" vertical="top" wrapText="1"/>
    </xf>
    <xf numFmtId="3" fontId="1" fillId="6" borderId="53" xfId="1" applyNumberFormat="1" applyFont="1" applyFill="1" applyBorder="1" applyAlignment="1">
      <alignment horizontal="right" vertical="top" wrapText="1"/>
    </xf>
    <xf numFmtId="3" fontId="1" fillId="6" borderId="46" xfId="1" applyNumberFormat="1" applyFont="1" applyFill="1" applyBorder="1" applyAlignment="1">
      <alignment horizontal="right" vertical="top" wrapText="1"/>
    </xf>
    <xf numFmtId="0" fontId="1" fillId="6" borderId="9" xfId="0" applyFont="1" applyFill="1" applyBorder="1" applyAlignment="1">
      <alignment horizontal="center" vertical="top"/>
    </xf>
    <xf numFmtId="188" fontId="11" fillId="6" borderId="20" xfId="1" applyNumberFormat="1" applyFont="1" applyFill="1" applyBorder="1" applyAlignment="1">
      <alignment horizontal="right" vertical="top"/>
    </xf>
    <xf numFmtId="3" fontId="16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0" fontId="2" fillId="0" borderId="0" xfId="0" applyFont="1" applyBorder="1" applyAlignment="1">
      <alignment horizontal="center" vertical="center" wrapText="1" readingOrder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 readingOrder="1"/>
    </xf>
    <xf numFmtId="0" fontId="2" fillId="0" borderId="37" xfId="0" applyFont="1" applyBorder="1" applyAlignment="1">
      <alignment horizontal="center" vertical="center" wrapText="1" readingOrder="1"/>
    </xf>
    <xf numFmtId="0" fontId="2" fillId="0" borderId="38" xfId="0" applyFont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 readingOrder="1"/>
    </xf>
    <xf numFmtId="187" fontId="2" fillId="0" borderId="35" xfId="0" applyNumberFormat="1" applyFont="1" applyBorder="1" applyAlignment="1">
      <alignment horizontal="center" vertical="center" wrapText="1" readingOrder="1"/>
    </xf>
    <xf numFmtId="187" fontId="2" fillId="0" borderId="32" xfId="0" applyNumberFormat="1" applyFont="1" applyBorder="1" applyAlignment="1">
      <alignment horizontal="center" vertical="center" wrapText="1" readingOrder="1"/>
    </xf>
    <xf numFmtId="0" fontId="2" fillId="0" borderId="35" xfId="0" applyFont="1" applyFill="1" applyBorder="1" applyAlignment="1">
      <alignment horizontal="center" vertical="center" wrapText="1" readingOrder="1"/>
    </xf>
    <xf numFmtId="0" fontId="2" fillId="0" borderId="39" xfId="0" applyFont="1" applyFill="1" applyBorder="1" applyAlignment="1">
      <alignment horizontal="center" vertical="center" wrapText="1" readingOrder="1"/>
    </xf>
    <xf numFmtId="188" fontId="2" fillId="0" borderId="41" xfId="1" applyNumberFormat="1" applyFont="1" applyFill="1" applyBorder="1" applyAlignment="1">
      <alignment horizontal="center" vertical="center" wrapText="1" readingOrder="1"/>
    </xf>
    <xf numFmtId="188" fontId="2" fillId="0" borderId="33" xfId="1" applyNumberFormat="1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2" fillId="0" borderId="3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top"/>
    </xf>
  </cellXfs>
  <cellStyles count="9">
    <cellStyle name="Comma" xfId="1" builtinId="3"/>
    <cellStyle name="Normal" xfId="0" builtinId="0"/>
    <cellStyle name="ปกติ 2" xfId="2"/>
    <cellStyle name="ปกติ 3" xfId="3"/>
    <cellStyle name="ปกติ 4" xfId="4"/>
    <cellStyle name="ปกติ 5" xfId="5"/>
    <cellStyle name="ปกติ 6" xfId="6"/>
    <cellStyle name="ปกติ 8" xfId="7"/>
    <cellStyle name="ปกติ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2311"/>
  <sheetViews>
    <sheetView showGridLines="0" tabSelected="1" showOutlineSymbols="0" zoomScaleNormal="100" zoomScaleSheetLayoutView="100" workbookViewId="0">
      <selection activeCell="S949" sqref="S949"/>
    </sheetView>
  </sheetViews>
  <sheetFormatPr defaultRowHeight="12.75" customHeight="1" x14ac:dyDescent="0.2"/>
  <cols>
    <col min="1" max="1" width="5.140625" style="14" customWidth="1"/>
    <col min="2" max="2" width="15" style="13" hidden="1" customWidth="1"/>
    <col min="3" max="3" width="13.5703125" style="15" customWidth="1"/>
    <col min="4" max="4" width="11.7109375" style="15" customWidth="1"/>
    <col min="5" max="5" width="5.28515625" style="19" customWidth="1"/>
    <col min="6" max="6" width="4.7109375" style="19" customWidth="1"/>
    <col min="7" max="7" width="9.85546875" style="143" customWidth="1"/>
    <col min="8" max="8" width="10.5703125" style="143" customWidth="1"/>
    <col min="9" max="9" width="8.85546875" style="553" customWidth="1"/>
    <col min="10" max="10" width="9.28515625" style="552" customWidth="1"/>
    <col min="11" max="11" width="12" style="31" customWidth="1"/>
    <col min="12" max="12" width="9.85546875" style="146" customWidth="1"/>
    <col min="13" max="13" width="9.140625" style="13"/>
    <col min="14" max="36" width="9.140625" style="15"/>
    <col min="37" max="16384" width="9.140625" style="13"/>
  </cols>
  <sheetData>
    <row r="1" spans="1:12" ht="21.75" customHeight="1" x14ac:dyDescent="0.2">
      <c r="A1" s="27"/>
      <c r="B1" s="19"/>
      <c r="C1" s="575" t="s">
        <v>5002</v>
      </c>
      <c r="D1" s="575"/>
      <c r="E1" s="575"/>
      <c r="F1" s="575"/>
      <c r="G1" s="575"/>
      <c r="H1" s="575"/>
      <c r="I1" s="575"/>
      <c r="J1" s="575"/>
      <c r="K1" s="575"/>
      <c r="L1" s="144"/>
    </row>
    <row r="2" spans="1:12" ht="20.25" customHeight="1" thickBot="1" x14ac:dyDescent="0.25">
      <c r="A2" s="575" t="s">
        <v>5001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</row>
    <row r="3" spans="1:12" ht="85.5" customHeight="1" thickBot="1" x14ac:dyDescent="0.25">
      <c r="A3" s="576" t="s">
        <v>5011</v>
      </c>
      <c r="B3" s="107" t="s">
        <v>0</v>
      </c>
      <c r="C3" s="578" t="s">
        <v>1</v>
      </c>
      <c r="D3" s="579"/>
      <c r="E3" s="582" t="s">
        <v>2</v>
      </c>
      <c r="F3" s="584" t="s">
        <v>3</v>
      </c>
      <c r="G3" s="586" t="s">
        <v>5724</v>
      </c>
      <c r="H3" s="447" t="s">
        <v>5723</v>
      </c>
      <c r="I3" s="554" t="s">
        <v>5726</v>
      </c>
      <c r="J3" s="555" t="s">
        <v>5725</v>
      </c>
      <c r="K3" s="588" t="s">
        <v>4</v>
      </c>
      <c r="L3" s="590" t="s">
        <v>5722</v>
      </c>
    </row>
    <row r="4" spans="1:12" ht="21" customHeight="1" thickBot="1" x14ac:dyDescent="0.25">
      <c r="A4" s="577"/>
      <c r="B4" s="279"/>
      <c r="C4" s="580"/>
      <c r="D4" s="581"/>
      <c r="E4" s="583"/>
      <c r="F4" s="585"/>
      <c r="G4" s="587"/>
      <c r="H4" s="448">
        <v>500</v>
      </c>
      <c r="I4" s="509">
        <v>1000</v>
      </c>
      <c r="J4" s="510">
        <v>1500</v>
      </c>
      <c r="K4" s="589"/>
      <c r="L4" s="591"/>
    </row>
    <row r="5" spans="1:12" ht="20.25" customHeight="1" x14ac:dyDescent="0.2">
      <c r="A5" s="108">
        <v>1</v>
      </c>
      <c r="B5" s="109" t="s">
        <v>5</v>
      </c>
      <c r="C5" s="110" t="s">
        <v>5012</v>
      </c>
      <c r="D5" s="111" t="s">
        <v>6</v>
      </c>
      <c r="E5" s="112" t="s">
        <v>7</v>
      </c>
      <c r="F5" s="113" t="s">
        <v>8</v>
      </c>
      <c r="G5" s="119">
        <v>50</v>
      </c>
      <c r="H5" s="120">
        <f>500-G5</f>
        <v>450</v>
      </c>
      <c r="I5" s="511">
        <f>+(1120+750)/4</f>
        <v>467.5</v>
      </c>
      <c r="J5" s="512">
        <f>SUM(H5:I5)</f>
        <v>917.5</v>
      </c>
      <c r="K5" s="260"/>
      <c r="L5" s="261"/>
    </row>
    <row r="6" spans="1:12" ht="20.25" customHeight="1" x14ac:dyDescent="0.2">
      <c r="A6" s="114">
        <v>2</v>
      </c>
      <c r="B6" s="1" t="s">
        <v>9</v>
      </c>
      <c r="C6" s="6" t="s">
        <v>5013</v>
      </c>
      <c r="D6" s="7" t="s">
        <v>10</v>
      </c>
      <c r="E6" s="2" t="s">
        <v>7</v>
      </c>
      <c r="F6" s="99" t="s">
        <v>11</v>
      </c>
      <c r="G6" s="121">
        <v>100</v>
      </c>
      <c r="H6" s="122">
        <f t="shared" ref="H6:H70" si="0">500-G6</f>
        <v>400</v>
      </c>
      <c r="I6" s="513">
        <f>+(1120+750)/4</f>
        <v>467.5</v>
      </c>
      <c r="J6" s="514">
        <f>SUM(H6:I6)</f>
        <v>867.5</v>
      </c>
      <c r="K6" s="262"/>
      <c r="L6" s="263"/>
    </row>
    <row r="7" spans="1:12" ht="20.25" customHeight="1" x14ac:dyDescent="0.2">
      <c r="A7" s="114">
        <v>3</v>
      </c>
      <c r="B7" s="1" t="s">
        <v>12</v>
      </c>
      <c r="C7" s="6" t="s">
        <v>5014</v>
      </c>
      <c r="D7" s="7" t="s">
        <v>13</v>
      </c>
      <c r="E7" s="2" t="s">
        <v>7</v>
      </c>
      <c r="F7" s="99" t="s">
        <v>14</v>
      </c>
      <c r="G7" s="121">
        <v>50</v>
      </c>
      <c r="H7" s="122">
        <f t="shared" si="0"/>
        <v>450</v>
      </c>
      <c r="I7" s="513">
        <f>+(1120+750)/4</f>
        <v>467.5</v>
      </c>
      <c r="J7" s="514">
        <f t="shared" ref="J7:J71" si="1">SUM(H7:I7)</f>
        <v>917.5</v>
      </c>
      <c r="K7" s="262"/>
      <c r="L7" s="263"/>
    </row>
    <row r="8" spans="1:12" ht="20.25" customHeight="1" thickBot="1" x14ac:dyDescent="0.25">
      <c r="A8" s="158">
        <v>4</v>
      </c>
      <c r="B8" s="159" t="s">
        <v>15</v>
      </c>
      <c r="C8" s="160" t="s">
        <v>5015</v>
      </c>
      <c r="D8" s="161" t="s">
        <v>16</v>
      </c>
      <c r="E8" s="162" t="s">
        <v>7</v>
      </c>
      <c r="F8" s="163" t="s">
        <v>17</v>
      </c>
      <c r="G8" s="164">
        <v>50</v>
      </c>
      <c r="H8" s="153">
        <f t="shared" si="0"/>
        <v>450</v>
      </c>
      <c r="I8" s="515">
        <f>+(1120+750)/4</f>
        <v>467.5</v>
      </c>
      <c r="J8" s="516">
        <f t="shared" si="1"/>
        <v>917.5</v>
      </c>
      <c r="K8" s="277"/>
      <c r="L8" s="278"/>
    </row>
    <row r="9" spans="1:12" ht="20.25" customHeight="1" x14ac:dyDescent="0.2">
      <c r="A9" s="115">
        <v>5</v>
      </c>
      <c r="B9" s="64" t="s">
        <v>18</v>
      </c>
      <c r="C9" s="65" t="s">
        <v>5016</v>
      </c>
      <c r="D9" s="66" t="s">
        <v>19</v>
      </c>
      <c r="E9" s="67" t="s">
        <v>20</v>
      </c>
      <c r="F9" s="98" t="s">
        <v>8</v>
      </c>
      <c r="G9" s="123">
        <v>50</v>
      </c>
      <c r="H9" s="124">
        <f t="shared" si="0"/>
        <v>450</v>
      </c>
      <c r="I9" s="513">
        <f>+(0+0)/4</f>
        <v>0</v>
      </c>
      <c r="J9" s="517">
        <f t="shared" si="1"/>
        <v>450</v>
      </c>
      <c r="K9" s="264"/>
      <c r="L9" s="265"/>
    </row>
    <row r="10" spans="1:12" ht="20.25" customHeight="1" x14ac:dyDescent="0.2">
      <c r="A10" s="114">
        <v>6</v>
      </c>
      <c r="B10" s="1" t="s">
        <v>21</v>
      </c>
      <c r="C10" s="6" t="s">
        <v>5017</v>
      </c>
      <c r="D10" s="7" t="s">
        <v>22</v>
      </c>
      <c r="E10" s="2" t="s">
        <v>20</v>
      </c>
      <c r="F10" s="99" t="s">
        <v>11</v>
      </c>
      <c r="G10" s="121">
        <v>50</v>
      </c>
      <c r="H10" s="122">
        <f t="shared" si="0"/>
        <v>450</v>
      </c>
      <c r="I10" s="513">
        <f>+(0+0)/4</f>
        <v>0</v>
      </c>
      <c r="J10" s="514">
        <f t="shared" si="1"/>
        <v>450</v>
      </c>
      <c r="K10" s="262"/>
      <c r="L10" s="263"/>
    </row>
    <row r="11" spans="1:12" ht="20.25" customHeight="1" x14ac:dyDescent="0.2">
      <c r="A11" s="114">
        <v>7</v>
      </c>
      <c r="B11" s="1" t="s">
        <v>23</v>
      </c>
      <c r="C11" s="6" t="s">
        <v>5018</v>
      </c>
      <c r="D11" s="7" t="s">
        <v>24</v>
      </c>
      <c r="E11" s="2" t="s">
        <v>20</v>
      </c>
      <c r="F11" s="99" t="s">
        <v>14</v>
      </c>
      <c r="G11" s="121">
        <v>50</v>
      </c>
      <c r="H11" s="122">
        <f t="shared" si="0"/>
        <v>450</v>
      </c>
      <c r="I11" s="513">
        <f>+(0+0)/4</f>
        <v>0</v>
      </c>
      <c r="J11" s="514">
        <f t="shared" si="1"/>
        <v>450</v>
      </c>
      <c r="K11" s="262"/>
      <c r="L11" s="263"/>
    </row>
    <row r="12" spans="1:12" ht="20.25" customHeight="1" thickBot="1" x14ac:dyDescent="0.25">
      <c r="A12" s="117">
        <v>8</v>
      </c>
      <c r="B12" s="3" t="s">
        <v>25</v>
      </c>
      <c r="C12" s="8" t="s">
        <v>5019</v>
      </c>
      <c r="D12" s="9" t="s">
        <v>26</v>
      </c>
      <c r="E12" s="4" t="s">
        <v>20</v>
      </c>
      <c r="F12" s="101" t="s">
        <v>17</v>
      </c>
      <c r="G12" s="128">
        <v>50</v>
      </c>
      <c r="H12" s="157">
        <f t="shared" si="0"/>
        <v>450</v>
      </c>
      <c r="I12" s="518">
        <f>+(0+0)/4</f>
        <v>0</v>
      </c>
      <c r="J12" s="519">
        <f t="shared" si="1"/>
        <v>450</v>
      </c>
      <c r="K12" s="268"/>
      <c r="L12" s="276"/>
    </row>
    <row r="13" spans="1:12" ht="20.25" customHeight="1" x14ac:dyDescent="0.2">
      <c r="A13" s="108">
        <v>9</v>
      </c>
      <c r="B13" s="171" t="s">
        <v>27</v>
      </c>
      <c r="C13" s="110" t="s">
        <v>5020</v>
      </c>
      <c r="D13" s="111" t="s">
        <v>28</v>
      </c>
      <c r="E13" s="112" t="s">
        <v>29</v>
      </c>
      <c r="F13" s="113" t="s">
        <v>8</v>
      </c>
      <c r="G13" s="119">
        <v>50</v>
      </c>
      <c r="H13" s="120">
        <f t="shared" si="0"/>
        <v>450</v>
      </c>
      <c r="I13" s="511">
        <f>+(0+515)/4</f>
        <v>128.75</v>
      </c>
      <c r="J13" s="512">
        <f t="shared" si="1"/>
        <v>578.75</v>
      </c>
      <c r="K13" s="260"/>
      <c r="L13" s="261"/>
    </row>
    <row r="14" spans="1:12" ht="20.25" customHeight="1" x14ac:dyDescent="0.2">
      <c r="A14" s="114">
        <v>10</v>
      </c>
      <c r="B14" s="1" t="s">
        <v>30</v>
      </c>
      <c r="C14" s="6" t="s">
        <v>5021</v>
      </c>
      <c r="D14" s="7" t="s">
        <v>31</v>
      </c>
      <c r="E14" s="2" t="s">
        <v>29</v>
      </c>
      <c r="F14" s="99" t="s">
        <v>11</v>
      </c>
      <c r="G14" s="121">
        <v>50</v>
      </c>
      <c r="H14" s="122">
        <f t="shared" si="0"/>
        <v>450</v>
      </c>
      <c r="I14" s="520">
        <f>+(0+515)/4</f>
        <v>128.75</v>
      </c>
      <c r="J14" s="514">
        <f t="shared" si="1"/>
        <v>578.75</v>
      </c>
      <c r="K14" s="262"/>
      <c r="L14" s="263"/>
    </row>
    <row r="15" spans="1:12" ht="20.25" customHeight="1" x14ac:dyDescent="0.2">
      <c r="A15" s="114">
        <v>11</v>
      </c>
      <c r="B15" s="1" t="s">
        <v>32</v>
      </c>
      <c r="C15" s="6" t="s">
        <v>5022</v>
      </c>
      <c r="D15" s="7" t="s">
        <v>33</v>
      </c>
      <c r="E15" s="2" t="s">
        <v>29</v>
      </c>
      <c r="F15" s="99" t="s">
        <v>14</v>
      </c>
      <c r="G15" s="121">
        <v>100</v>
      </c>
      <c r="H15" s="122">
        <f t="shared" si="0"/>
        <v>400</v>
      </c>
      <c r="I15" s="520">
        <f>+(0+515)/4</f>
        <v>128.75</v>
      </c>
      <c r="J15" s="514">
        <f t="shared" si="1"/>
        <v>528.75</v>
      </c>
      <c r="K15" s="262"/>
      <c r="L15" s="263"/>
    </row>
    <row r="16" spans="1:12" ht="20.25" customHeight="1" thickBot="1" x14ac:dyDescent="0.25">
      <c r="A16" s="158">
        <v>12</v>
      </c>
      <c r="B16" s="159" t="s">
        <v>34</v>
      </c>
      <c r="C16" s="160" t="s">
        <v>5023</v>
      </c>
      <c r="D16" s="161" t="s">
        <v>35</v>
      </c>
      <c r="E16" s="162" t="s">
        <v>29</v>
      </c>
      <c r="F16" s="163" t="s">
        <v>17</v>
      </c>
      <c r="G16" s="164">
        <v>50</v>
      </c>
      <c r="H16" s="153">
        <f t="shared" si="0"/>
        <v>450</v>
      </c>
      <c r="I16" s="521">
        <f>+(0+515)/4</f>
        <v>128.75</v>
      </c>
      <c r="J16" s="516">
        <f t="shared" si="1"/>
        <v>578.75</v>
      </c>
      <c r="K16" s="277"/>
      <c r="L16" s="278"/>
    </row>
    <row r="17" spans="1:174" s="15" customFormat="1" ht="20.25" customHeight="1" x14ac:dyDescent="0.3">
      <c r="A17" s="115">
        <v>13</v>
      </c>
      <c r="B17" s="351" t="s">
        <v>4947</v>
      </c>
      <c r="C17" s="352" t="s">
        <v>5024</v>
      </c>
      <c r="D17" s="353" t="s">
        <v>4842</v>
      </c>
      <c r="E17" s="12">
        <v>1205</v>
      </c>
      <c r="F17" s="354">
        <v>1</v>
      </c>
      <c r="G17" s="173">
        <v>150</v>
      </c>
      <c r="H17" s="124">
        <f t="shared" si="0"/>
        <v>350</v>
      </c>
      <c r="I17" s="513">
        <f>+(0+1165)/4</f>
        <v>291.25</v>
      </c>
      <c r="J17" s="517">
        <f t="shared" si="1"/>
        <v>641.25</v>
      </c>
      <c r="K17" s="355"/>
      <c r="L17" s="356"/>
      <c r="M17" s="20"/>
      <c r="N17" s="21"/>
      <c r="O17" s="21"/>
      <c r="P17" s="20"/>
      <c r="Q17" s="21"/>
      <c r="R17" s="21"/>
      <c r="S17" s="20"/>
      <c r="T17" s="20"/>
      <c r="U17" s="21"/>
      <c r="V17" s="21"/>
      <c r="W17" s="20"/>
      <c r="X17" s="20"/>
      <c r="Y17" s="21"/>
      <c r="Z17" s="21"/>
      <c r="AA17" s="20"/>
      <c r="AB17" s="20"/>
      <c r="AC17" s="21"/>
      <c r="AD17" s="21"/>
      <c r="AE17" s="20"/>
      <c r="AF17" s="20"/>
      <c r="AG17" s="21"/>
      <c r="AH17" s="21"/>
      <c r="AI17" s="20"/>
      <c r="AJ17" s="20"/>
      <c r="AK17" s="21"/>
      <c r="AL17" s="21"/>
      <c r="AM17" s="20"/>
      <c r="AN17" s="20"/>
      <c r="AO17" s="21"/>
      <c r="AP17" s="21"/>
      <c r="AQ17" s="20"/>
      <c r="AR17" s="20"/>
      <c r="AS17" s="21"/>
      <c r="AT17" s="21"/>
      <c r="AU17" s="20"/>
      <c r="AV17" s="20"/>
      <c r="AW17" s="21"/>
      <c r="AX17" s="21"/>
      <c r="AY17" s="20"/>
      <c r="AZ17" s="20"/>
      <c r="BA17" s="21"/>
      <c r="BB17" s="21"/>
      <c r="BC17" s="20"/>
      <c r="BD17" s="20"/>
      <c r="BE17" s="21"/>
      <c r="BF17" s="21"/>
      <c r="BG17" s="20"/>
      <c r="BH17" s="20"/>
      <c r="BI17" s="21"/>
      <c r="BJ17" s="21"/>
      <c r="BK17" s="20"/>
      <c r="BL17" s="20"/>
      <c r="BM17" s="21"/>
      <c r="BN17" s="21"/>
      <c r="BO17" s="20"/>
      <c r="BP17" s="20"/>
      <c r="BQ17" s="21"/>
      <c r="BR17" s="21"/>
      <c r="BS17" s="20"/>
      <c r="BT17" s="20"/>
      <c r="BU17" s="21"/>
      <c r="BV17" s="21"/>
      <c r="BW17" s="20"/>
      <c r="BX17" s="20"/>
      <c r="BY17" s="21"/>
      <c r="BZ17" s="21"/>
      <c r="CA17" s="20"/>
      <c r="CB17" s="20"/>
      <c r="CC17" s="21"/>
      <c r="CD17" s="21"/>
      <c r="CE17" s="20"/>
      <c r="CF17" s="20"/>
      <c r="CG17" s="21"/>
      <c r="CH17" s="21"/>
      <c r="CI17" s="20"/>
      <c r="CJ17" s="20"/>
      <c r="CK17" s="21"/>
      <c r="CL17" s="21"/>
      <c r="CM17" s="20"/>
      <c r="CN17" s="20"/>
      <c r="CO17" s="21"/>
      <c r="CP17" s="21"/>
      <c r="CQ17" s="20"/>
      <c r="CR17" s="20"/>
      <c r="CS17" s="21"/>
      <c r="CT17" s="21"/>
      <c r="CU17" s="20"/>
      <c r="CV17" s="20"/>
      <c r="CW17" s="21"/>
      <c r="CX17" s="21"/>
      <c r="CY17" s="20"/>
      <c r="CZ17" s="20"/>
      <c r="DA17" s="21"/>
      <c r="DB17" s="21"/>
      <c r="DC17" s="20"/>
      <c r="DD17" s="20"/>
      <c r="DE17" s="21"/>
      <c r="DF17" s="21"/>
      <c r="DG17" s="20"/>
      <c r="DH17" s="20"/>
      <c r="DI17" s="21"/>
      <c r="DJ17" s="21"/>
      <c r="DK17" s="20"/>
      <c r="DL17" s="20"/>
      <c r="DM17" s="21"/>
      <c r="DN17" s="21"/>
      <c r="DO17" s="20"/>
      <c r="DP17" s="20"/>
      <c r="DQ17" s="21"/>
      <c r="DR17" s="21"/>
      <c r="DS17" s="20"/>
      <c r="DT17" s="20"/>
      <c r="DU17" s="21"/>
      <c r="DV17" s="21"/>
      <c r="DW17" s="20"/>
      <c r="DX17" s="20"/>
      <c r="DY17" s="21"/>
      <c r="DZ17" s="21"/>
      <c r="EA17" s="20"/>
      <c r="EB17" s="20"/>
      <c r="EC17" s="21"/>
      <c r="ED17" s="21"/>
      <c r="EE17" s="20"/>
      <c r="EF17" s="20"/>
      <c r="EG17" s="21"/>
      <c r="EH17" s="21"/>
      <c r="EI17" s="20"/>
      <c r="EJ17" s="20"/>
      <c r="EK17" s="21"/>
      <c r="EL17" s="21"/>
      <c r="EM17" s="20"/>
      <c r="EN17" s="20"/>
      <c r="EO17" s="21"/>
      <c r="EP17" s="21"/>
      <c r="EQ17" s="20"/>
      <c r="ER17" s="20"/>
      <c r="ES17" s="21"/>
      <c r="ET17" s="21"/>
      <c r="EU17" s="20"/>
      <c r="EV17" s="20"/>
      <c r="EW17" s="21"/>
      <c r="EX17" s="21"/>
      <c r="EY17" s="20"/>
      <c r="EZ17" s="20"/>
      <c r="FA17" s="21"/>
      <c r="FB17" s="21"/>
      <c r="FC17" s="20"/>
      <c r="FD17" s="20"/>
      <c r="FE17" s="21"/>
      <c r="FF17" s="21"/>
      <c r="FG17" s="20"/>
      <c r="FH17" s="20"/>
      <c r="FI17" s="21"/>
      <c r="FJ17" s="21"/>
      <c r="FK17" s="20"/>
      <c r="FL17" s="20"/>
      <c r="FM17" s="21"/>
      <c r="FN17" s="21"/>
      <c r="FO17" s="20"/>
      <c r="FP17" s="20"/>
      <c r="FQ17" s="21"/>
      <c r="FR17" s="21"/>
    </row>
    <row r="18" spans="1:174" ht="20.25" customHeight="1" x14ac:dyDescent="0.2">
      <c r="A18" s="114">
        <v>14</v>
      </c>
      <c r="B18" s="47" t="s">
        <v>36</v>
      </c>
      <c r="C18" s="10" t="s">
        <v>5025</v>
      </c>
      <c r="D18" s="11" t="s">
        <v>37</v>
      </c>
      <c r="E18" s="5" t="s">
        <v>38</v>
      </c>
      <c r="F18" s="100" t="s">
        <v>11</v>
      </c>
      <c r="G18" s="125">
        <v>100</v>
      </c>
      <c r="H18" s="122">
        <f t="shared" si="0"/>
        <v>400</v>
      </c>
      <c r="I18" s="520">
        <f>+(0+1165)/4</f>
        <v>291.25</v>
      </c>
      <c r="J18" s="514">
        <f t="shared" si="1"/>
        <v>691.25</v>
      </c>
      <c r="K18" s="262"/>
      <c r="L18" s="263"/>
    </row>
    <row r="19" spans="1:174" ht="20.25" customHeight="1" x14ac:dyDescent="0.2">
      <c r="A19" s="114">
        <v>15</v>
      </c>
      <c r="B19" s="47" t="s">
        <v>39</v>
      </c>
      <c r="C19" s="10" t="s">
        <v>5026</v>
      </c>
      <c r="D19" s="11" t="s">
        <v>40</v>
      </c>
      <c r="E19" s="5" t="s">
        <v>38</v>
      </c>
      <c r="F19" s="100" t="s">
        <v>14</v>
      </c>
      <c r="G19" s="125">
        <v>150</v>
      </c>
      <c r="H19" s="122">
        <f t="shared" si="0"/>
        <v>350</v>
      </c>
      <c r="I19" s="520">
        <f>+(0+1165)/4</f>
        <v>291.25</v>
      </c>
      <c r="J19" s="514">
        <f t="shared" si="1"/>
        <v>641.25</v>
      </c>
      <c r="K19" s="262"/>
      <c r="L19" s="263"/>
    </row>
    <row r="20" spans="1:174" ht="20.25" customHeight="1" thickBot="1" x14ac:dyDescent="0.25">
      <c r="A20" s="117">
        <v>16</v>
      </c>
      <c r="B20" s="357" t="s">
        <v>41</v>
      </c>
      <c r="C20" s="358" t="s">
        <v>5027</v>
      </c>
      <c r="D20" s="359" t="s">
        <v>42</v>
      </c>
      <c r="E20" s="360" t="s">
        <v>38</v>
      </c>
      <c r="F20" s="361" t="s">
        <v>17</v>
      </c>
      <c r="G20" s="362">
        <v>150</v>
      </c>
      <c r="H20" s="157">
        <f t="shared" si="0"/>
        <v>350</v>
      </c>
      <c r="I20" s="522">
        <f>+(0+1165)/4</f>
        <v>291.25</v>
      </c>
      <c r="J20" s="519">
        <f t="shared" si="1"/>
        <v>641.25</v>
      </c>
      <c r="K20" s="268"/>
      <c r="L20" s="276"/>
    </row>
    <row r="21" spans="1:174" ht="20.25" customHeight="1" x14ac:dyDescent="0.2">
      <c r="A21" s="108">
        <v>17</v>
      </c>
      <c r="B21" s="171" t="s">
        <v>43</v>
      </c>
      <c r="C21" s="110" t="s">
        <v>5018</v>
      </c>
      <c r="D21" s="111" t="s">
        <v>44</v>
      </c>
      <c r="E21" s="112" t="s">
        <v>45</v>
      </c>
      <c r="F21" s="113" t="s">
        <v>8</v>
      </c>
      <c r="G21" s="119">
        <v>50</v>
      </c>
      <c r="H21" s="120">
        <f t="shared" si="0"/>
        <v>450</v>
      </c>
      <c r="I21" s="511">
        <f>+(690+890)/4</f>
        <v>395</v>
      </c>
      <c r="J21" s="512">
        <f t="shared" si="1"/>
        <v>845</v>
      </c>
      <c r="K21" s="260"/>
      <c r="L21" s="261"/>
    </row>
    <row r="22" spans="1:174" s="37" customFormat="1" ht="20.25" customHeight="1" x14ac:dyDescent="0.2">
      <c r="A22" s="116">
        <v>18</v>
      </c>
      <c r="B22" s="46" t="s">
        <v>46</v>
      </c>
      <c r="C22" s="29" t="s">
        <v>5028</v>
      </c>
      <c r="D22" s="28" t="s">
        <v>47</v>
      </c>
      <c r="E22" s="30" t="s">
        <v>45</v>
      </c>
      <c r="F22" s="73" t="s">
        <v>11</v>
      </c>
      <c r="G22" s="126">
        <v>100</v>
      </c>
      <c r="H22" s="127">
        <f t="shared" si="0"/>
        <v>400</v>
      </c>
      <c r="I22" s="523">
        <f>+(690+890)/4</f>
        <v>395</v>
      </c>
      <c r="J22" s="524">
        <f t="shared" si="1"/>
        <v>795</v>
      </c>
      <c r="K22" s="266" t="s">
        <v>4996</v>
      </c>
      <c r="L22" s="267">
        <v>6280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174" ht="20.25" customHeight="1" x14ac:dyDescent="0.2">
      <c r="A23" s="114">
        <v>19</v>
      </c>
      <c r="B23" s="1" t="s">
        <v>48</v>
      </c>
      <c r="C23" s="6" t="s">
        <v>5029</v>
      </c>
      <c r="D23" s="7" t="s">
        <v>49</v>
      </c>
      <c r="E23" s="2" t="s">
        <v>45</v>
      </c>
      <c r="F23" s="99" t="s">
        <v>14</v>
      </c>
      <c r="G23" s="121">
        <v>50</v>
      </c>
      <c r="H23" s="122">
        <f t="shared" si="0"/>
        <v>450</v>
      </c>
      <c r="I23" s="520">
        <f>+(690+890)/4</f>
        <v>395</v>
      </c>
      <c r="J23" s="514">
        <f t="shared" si="1"/>
        <v>845</v>
      </c>
      <c r="K23" s="262"/>
      <c r="L23" s="267"/>
    </row>
    <row r="24" spans="1:174" ht="20.25" customHeight="1" thickBot="1" x14ac:dyDescent="0.25">
      <c r="A24" s="158">
        <v>20</v>
      </c>
      <c r="B24" s="159" t="s">
        <v>50</v>
      </c>
      <c r="C24" s="160" t="s">
        <v>5030</v>
      </c>
      <c r="D24" s="161" t="s">
        <v>51</v>
      </c>
      <c r="E24" s="162" t="s">
        <v>45</v>
      </c>
      <c r="F24" s="163" t="s">
        <v>17</v>
      </c>
      <c r="G24" s="164">
        <v>100</v>
      </c>
      <c r="H24" s="153">
        <f t="shared" si="0"/>
        <v>400</v>
      </c>
      <c r="I24" s="521">
        <f>+(690+890)/4</f>
        <v>395</v>
      </c>
      <c r="J24" s="516">
        <f t="shared" si="1"/>
        <v>795</v>
      </c>
      <c r="K24" s="277"/>
      <c r="L24" s="364"/>
    </row>
    <row r="25" spans="1:174" ht="20.25" customHeight="1" x14ac:dyDescent="0.2">
      <c r="A25" s="115">
        <v>21</v>
      </c>
      <c r="B25" s="64" t="s">
        <v>52</v>
      </c>
      <c r="C25" s="65" t="s">
        <v>5031</v>
      </c>
      <c r="D25" s="66" t="s">
        <v>53</v>
      </c>
      <c r="E25" s="67" t="s">
        <v>54</v>
      </c>
      <c r="F25" s="98" t="s">
        <v>8</v>
      </c>
      <c r="G25" s="123">
        <v>100</v>
      </c>
      <c r="H25" s="124">
        <f t="shared" si="0"/>
        <v>400</v>
      </c>
      <c r="I25" s="513">
        <f>+(325+865)/4</f>
        <v>297.5</v>
      </c>
      <c r="J25" s="517">
        <f t="shared" si="1"/>
        <v>697.5</v>
      </c>
      <c r="K25" s="264"/>
      <c r="L25" s="363"/>
    </row>
    <row r="26" spans="1:174" ht="20.25" customHeight="1" x14ac:dyDescent="0.2">
      <c r="A26" s="114">
        <v>22</v>
      </c>
      <c r="B26" s="1" t="s">
        <v>55</v>
      </c>
      <c r="C26" s="6" t="s">
        <v>5032</v>
      </c>
      <c r="D26" s="7" t="s">
        <v>56</v>
      </c>
      <c r="E26" s="2" t="s">
        <v>54</v>
      </c>
      <c r="F26" s="99" t="s">
        <v>11</v>
      </c>
      <c r="G26" s="121">
        <v>50</v>
      </c>
      <c r="H26" s="122">
        <f t="shared" si="0"/>
        <v>450</v>
      </c>
      <c r="I26" s="520">
        <f>+(325+865)/4</f>
        <v>297.5</v>
      </c>
      <c r="J26" s="514">
        <f t="shared" si="1"/>
        <v>747.5</v>
      </c>
      <c r="K26" s="262"/>
      <c r="L26" s="267"/>
    </row>
    <row r="27" spans="1:174" ht="20.25" customHeight="1" x14ac:dyDescent="0.2">
      <c r="A27" s="114">
        <v>23</v>
      </c>
      <c r="B27" s="1" t="s">
        <v>57</v>
      </c>
      <c r="C27" s="6" t="s">
        <v>5033</v>
      </c>
      <c r="D27" s="7" t="s">
        <v>37</v>
      </c>
      <c r="E27" s="2" t="s">
        <v>54</v>
      </c>
      <c r="F27" s="99" t="s">
        <v>14</v>
      </c>
      <c r="G27" s="121">
        <v>50</v>
      </c>
      <c r="H27" s="122">
        <f t="shared" si="0"/>
        <v>450</v>
      </c>
      <c r="I27" s="520">
        <f>+(325+865)/4</f>
        <v>297.5</v>
      </c>
      <c r="J27" s="514">
        <f t="shared" si="1"/>
        <v>747.5</v>
      </c>
      <c r="K27" s="262"/>
      <c r="L27" s="267"/>
    </row>
    <row r="28" spans="1:174" ht="20.25" customHeight="1" thickBot="1" x14ac:dyDescent="0.25">
      <c r="A28" s="117">
        <v>24</v>
      </c>
      <c r="B28" s="3" t="s">
        <v>58</v>
      </c>
      <c r="C28" s="8" t="s">
        <v>5034</v>
      </c>
      <c r="D28" s="9" t="s">
        <v>59</v>
      </c>
      <c r="E28" s="4" t="s">
        <v>54</v>
      </c>
      <c r="F28" s="101" t="s">
        <v>17</v>
      </c>
      <c r="G28" s="128">
        <v>100</v>
      </c>
      <c r="H28" s="157">
        <f t="shared" si="0"/>
        <v>400</v>
      </c>
      <c r="I28" s="522">
        <f>+(325+865)/4</f>
        <v>297.5</v>
      </c>
      <c r="J28" s="519">
        <f t="shared" si="1"/>
        <v>697.5</v>
      </c>
      <c r="K28" s="268"/>
      <c r="L28" s="269"/>
    </row>
    <row r="29" spans="1:174" ht="20.25" customHeight="1" x14ac:dyDescent="0.2">
      <c r="A29" s="108">
        <v>25</v>
      </c>
      <c r="B29" s="171" t="s">
        <v>60</v>
      </c>
      <c r="C29" s="110" t="s">
        <v>5035</v>
      </c>
      <c r="D29" s="111" t="s">
        <v>61</v>
      </c>
      <c r="E29" s="112" t="s">
        <v>62</v>
      </c>
      <c r="F29" s="113" t="s">
        <v>8</v>
      </c>
      <c r="G29" s="119">
        <v>100</v>
      </c>
      <c r="H29" s="120">
        <f t="shared" si="0"/>
        <v>400</v>
      </c>
      <c r="I29" s="511">
        <f>+(0+615)/4</f>
        <v>153.75</v>
      </c>
      <c r="J29" s="512">
        <f t="shared" si="1"/>
        <v>553.75</v>
      </c>
      <c r="K29" s="260"/>
      <c r="L29" s="365"/>
    </row>
    <row r="30" spans="1:174" ht="20.25" customHeight="1" x14ac:dyDescent="0.2">
      <c r="A30" s="114">
        <v>26</v>
      </c>
      <c r="B30" s="1" t="s">
        <v>63</v>
      </c>
      <c r="C30" s="6" t="s">
        <v>5036</v>
      </c>
      <c r="D30" s="7" t="s">
        <v>64</v>
      </c>
      <c r="E30" s="2" t="s">
        <v>62</v>
      </c>
      <c r="F30" s="99" t="s">
        <v>11</v>
      </c>
      <c r="G30" s="121">
        <v>100</v>
      </c>
      <c r="H30" s="122">
        <f t="shared" si="0"/>
        <v>400</v>
      </c>
      <c r="I30" s="520">
        <f>+(0+615)/4</f>
        <v>153.75</v>
      </c>
      <c r="J30" s="514">
        <f t="shared" si="1"/>
        <v>553.75</v>
      </c>
      <c r="K30" s="262"/>
      <c r="L30" s="267"/>
    </row>
    <row r="31" spans="1:174" ht="20.25" customHeight="1" x14ac:dyDescent="0.2">
      <c r="A31" s="114">
        <v>27</v>
      </c>
      <c r="B31" s="1" t="s">
        <v>65</v>
      </c>
      <c r="C31" s="6" t="s">
        <v>5037</v>
      </c>
      <c r="D31" s="7" t="s">
        <v>66</v>
      </c>
      <c r="E31" s="2" t="s">
        <v>62</v>
      </c>
      <c r="F31" s="99" t="s">
        <v>14</v>
      </c>
      <c r="G31" s="121">
        <v>100</v>
      </c>
      <c r="H31" s="122">
        <f t="shared" si="0"/>
        <v>400</v>
      </c>
      <c r="I31" s="520">
        <f>+(0+615)/4</f>
        <v>153.75</v>
      </c>
      <c r="J31" s="514">
        <f t="shared" si="1"/>
        <v>553.75</v>
      </c>
      <c r="K31" s="262"/>
      <c r="L31" s="267"/>
    </row>
    <row r="32" spans="1:174" ht="20.25" customHeight="1" thickBot="1" x14ac:dyDescent="0.25">
      <c r="A32" s="158">
        <v>28</v>
      </c>
      <c r="B32" s="159" t="s">
        <v>67</v>
      </c>
      <c r="C32" s="160" t="s">
        <v>5038</v>
      </c>
      <c r="D32" s="161" t="s">
        <v>68</v>
      </c>
      <c r="E32" s="162" t="s">
        <v>62</v>
      </c>
      <c r="F32" s="163" t="s">
        <v>17</v>
      </c>
      <c r="G32" s="164">
        <v>100</v>
      </c>
      <c r="H32" s="153">
        <f t="shared" si="0"/>
        <v>400</v>
      </c>
      <c r="I32" s="521">
        <f>+(0+615)/4</f>
        <v>153.75</v>
      </c>
      <c r="J32" s="516">
        <f t="shared" si="1"/>
        <v>553.75</v>
      </c>
      <c r="K32" s="277"/>
      <c r="L32" s="364"/>
    </row>
    <row r="33" spans="1:12" ht="20.25" customHeight="1" x14ac:dyDescent="0.2">
      <c r="A33" s="108">
        <v>29</v>
      </c>
      <c r="B33" s="171" t="s">
        <v>69</v>
      </c>
      <c r="C33" s="110" t="s">
        <v>5039</v>
      </c>
      <c r="D33" s="111" t="s">
        <v>70</v>
      </c>
      <c r="E33" s="112" t="s">
        <v>71</v>
      </c>
      <c r="F33" s="113" t="s">
        <v>8</v>
      </c>
      <c r="G33" s="119">
        <v>50</v>
      </c>
      <c r="H33" s="120">
        <f t="shared" si="0"/>
        <v>450</v>
      </c>
      <c r="I33" s="511">
        <f>+(-65+415)/4</f>
        <v>87.5</v>
      </c>
      <c r="J33" s="512">
        <f t="shared" si="1"/>
        <v>537.5</v>
      </c>
      <c r="K33" s="260"/>
      <c r="L33" s="365"/>
    </row>
    <row r="34" spans="1:12" ht="20.25" customHeight="1" x14ac:dyDescent="0.2">
      <c r="A34" s="114">
        <v>30</v>
      </c>
      <c r="B34" s="1" t="s">
        <v>72</v>
      </c>
      <c r="C34" s="6" t="s">
        <v>5040</v>
      </c>
      <c r="D34" s="7" t="s">
        <v>73</v>
      </c>
      <c r="E34" s="2" t="s">
        <v>71</v>
      </c>
      <c r="F34" s="99" t="s">
        <v>11</v>
      </c>
      <c r="G34" s="121">
        <v>50</v>
      </c>
      <c r="H34" s="122">
        <f t="shared" si="0"/>
        <v>450</v>
      </c>
      <c r="I34" s="520">
        <f>+(-65+415)/4</f>
        <v>87.5</v>
      </c>
      <c r="J34" s="514">
        <f t="shared" si="1"/>
        <v>537.5</v>
      </c>
      <c r="K34" s="262"/>
      <c r="L34" s="267"/>
    </row>
    <row r="35" spans="1:12" ht="20.25" customHeight="1" x14ac:dyDescent="0.2">
      <c r="A35" s="114">
        <v>31</v>
      </c>
      <c r="B35" s="1" t="s">
        <v>74</v>
      </c>
      <c r="C35" s="6" t="s">
        <v>5041</v>
      </c>
      <c r="D35" s="7" t="s">
        <v>75</v>
      </c>
      <c r="E35" s="2" t="s">
        <v>71</v>
      </c>
      <c r="F35" s="99" t="s">
        <v>14</v>
      </c>
      <c r="G35" s="121">
        <v>100</v>
      </c>
      <c r="H35" s="122">
        <f t="shared" si="0"/>
        <v>400</v>
      </c>
      <c r="I35" s="520">
        <f>+(-65+415)/4</f>
        <v>87.5</v>
      </c>
      <c r="J35" s="514">
        <f t="shared" si="1"/>
        <v>487.5</v>
      </c>
      <c r="K35" s="262"/>
      <c r="L35" s="267"/>
    </row>
    <row r="36" spans="1:12" ht="21.75" customHeight="1" thickBot="1" x14ac:dyDescent="0.25">
      <c r="A36" s="158">
        <v>32</v>
      </c>
      <c r="B36" s="159" t="s">
        <v>76</v>
      </c>
      <c r="C36" s="160" t="s">
        <v>5042</v>
      </c>
      <c r="D36" s="161" t="s">
        <v>77</v>
      </c>
      <c r="E36" s="162" t="s">
        <v>71</v>
      </c>
      <c r="F36" s="163" t="s">
        <v>17</v>
      </c>
      <c r="G36" s="164">
        <v>50</v>
      </c>
      <c r="H36" s="153">
        <f t="shared" si="0"/>
        <v>450</v>
      </c>
      <c r="I36" s="521">
        <f>+(-65+415)/4</f>
        <v>87.5</v>
      </c>
      <c r="J36" s="516">
        <f t="shared" si="1"/>
        <v>537.5</v>
      </c>
      <c r="K36" s="277"/>
      <c r="L36" s="364"/>
    </row>
    <row r="37" spans="1:12" ht="5.25" hidden="1" customHeight="1" x14ac:dyDescent="0.2">
      <c r="A37" s="108"/>
      <c r="B37" s="171"/>
      <c r="C37" s="110"/>
      <c r="D37" s="111"/>
      <c r="E37" s="112"/>
      <c r="F37" s="113"/>
      <c r="G37" s="119"/>
      <c r="H37" s="120"/>
      <c r="I37" s="511"/>
      <c r="J37" s="512"/>
      <c r="K37" s="260"/>
      <c r="L37" s="365"/>
    </row>
    <row r="38" spans="1:12" ht="20.25" customHeight="1" x14ac:dyDescent="0.2">
      <c r="A38" s="115">
        <v>33</v>
      </c>
      <c r="B38" s="64" t="s">
        <v>78</v>
      </c>
      <c r="C38" s="65" t="s">
        <v>5035</v>
      </c>
      <c r="D38" s="66" t="s">
        <v>79</v>
      </c>
      <c r="E38" s="67" t="s">
        <v>80</v>
      </c>
      <c r="F38" s="98" t="s">
        <v>8</v>
      </c>
      <c r="G38" s="123">
        <v>150</v>
      </c>
      <c r="H38" s="124">
        <f t="shared" si="0"/>
        <v>350</v>
      </c>
      <c r="I38" s="513">
        <f>+(375+1110)/4</f>
        <v>371.25</v>
      </c>
      <c r="J38" s="517">
        <f t="shared" si="1"/>
        <v>721.25</v>
      </c>
      <c r="K38" s="264"/>
      <c r="L38" s="363"/>
    </row>
    <row r="39" spans="1:12" ht="20.25" customHeight="1" x14ac:dyDescent="0.2">
      <c r="A39" s="114">
        <v>34</v>
      </c>
      <c r="B39" s="1" t="s">
        <v>81</v>
      </c>
      <c r="C39" s="6" t="s">
        <v>5043</v>
      </c>
      <c r="D39" s="7" t="s">
        <v>82</v>
      </c>
      <c r="E39" s="2" t="s">
        <v>80</v>
      </c>
      <c r="F39" s="99" t="s">
        <v>11</v>
      </c>
      <c r="G39" s="121">
        <v>100</v>
      </c>
      <c r="H39" s="122">
        <f t="shared" si="0"/>
        <v>400</v>
      </c>
      <c r="I39" s="520">
        <f>+(375+1110)/4</f>
        <v>371.25</v>
      </c>
      <c r="J39" s="514">
        <f t="shared" si="1"/>
        <v>771.25</v>
      </c>
      <c r="K39" s="262"/>
      <c r="L39" s="267"/>
    </row>
    <row r="40" spans="1:12" ht="20.25" customHeight="1" x14ac:dyDescent="0.2">
      <c r="A40" s="114">
        <v>35</v>
      </c>
      <c r="B40" s="1" t="s">
        <v>83</v>
      </c>
      <c r="C40" s="6" t="s">
        <v>5044</v>
      </c>
      <c r="D40" s="7" t="s">
        <v>84</v>
      </c>
      <c r="E40" s="2" t="s">
        <v>80</v>
      </c>
      <c r="F40" s="99" t="s">
        <v>14</v>
      </c>
      <c r="G40" s="121">
        <v>100</v>
      </c>
      <c r="H40" s="122">
        <f t="shared" si="0"/>
        <v>400</v>
      </c>
      <c r="I40" s="520">
        <f>+(375+1110)/4</f>
        <v>371.25</v>
      </c>
      <c r="J40" s="514">
        <f t="shared" si="1"/>
        <v>771.25</v>
      </c>
      <c r="K40" s="262"/>
      <c r="L40" s="267"/>
    </row>
    <row r="41" spans="1:12" ht="20.25" customHeight="1" thickBot="1" x14ac:dyDescent="0.25">
      <c r="A41" s="158">
        <v>36</v>
      </c>
      <c r="B41" s="159" t="s">
        <v>85</v>
      </c>
      <c r="C41" s="160" t="s">
        <v>5045</v>
      </c>
      <c r="D41" s="161" t="s">
        <v>86</v>
      </c>
      <c r="E41" s="162" t="s">
        <v>80</v>
      </c>
      <c r="F41" s="163" t="s">
        <v>17</v>
      </c>
      <c r="G41" s="164">
        <v>50</v>
      </c>
      <c r="H41" s="153">
        <f t="shared" si="0"/>
        <v>450</v>
      </c>
      <c r="I41" s="521">
        <f>+(375+1110)/4</f>
        <v>371.25</v>
      </c>
      <c r="J41" s="516">
        <f t="shared" si="1"/>
        <v>821.25</v>
      </c>
      <c r="K41" s="277"/>
      <c r="L41" s="364"/>
    </row>
    <row r="42" spans="1:12" ht="20.25" customHeight="1" x14ac:dyDescent="0.2">
      <c r="A42" s="108">
        <v>37</v>
      </c>
      <c r="B42" s="171" t="s">
        <v>87</v>
      </c>
      <c r="C42" s="110" t="s">
        <v>5046</v>
      </c>
      <c r="D42" s="111" t="s">
        <v>88</v>
      </c>
      <c r="E42" s="112" t="s">
        <v>89</v>
      </c>
      <c r="F42" s="113" t="s">
        <v>8</v>
      </c>
      <c r="G42" s="119">
        <v>50</v>
      </c>
      <c r="H42" s="120">
        <f t="shared" si="0"/>
        <v>450</v>
      </c>
      <c r="I42" s="511">
        <f>+(335+1085)/4</f>
        <v>355</v>
      </c>
      <c r="J42" s="512">
        <f t="shared" si="1"/>
        <v>805</v>
      </c>
      <c r="K42" s="260"/>
      <c r="L42" s="365"/>
    </row>
    <row r="43" spans="1:12" ht="20.25" customHeight="1" x14ac:dyDescent="0.2">
      <c r="A43" s="114">
        <v>38</v>
      </c>
      <c r="B43" s="1" t="s">
        <v>90</v>
      </c>
      <c r="C43" s="6" t="s">
        <v>5047</v>
      </c>
      <c r="D43" s="7" t="s">
        <v>91</v>
      </c>
      <c r="E43" s="2" t="s">
        <v>89</v>
      </c>
      <c r="F43" s="99" t="s">
        <v>11</v>
      </c>
      <c r="G43" s="121">
        <v>50</v>
      </c>
      <c r="H43" s="122">
        <f t="shared" si="0"/>
        <v>450</v>
      </c>
      <c r="I43" s="520">
        <f>+(335+1085)/4</f>
        <v>355</v>
      </c>
      <c r="J43" s="514">
        <f t="shared" si="1"/>
        <v>805</v>
      </c>
      <c r="K43" s="262"/>
      <c r="L43" s="267"/>
    </row>
    <row r="44" spans="1:12" ht="20.25" customHeight="1" x14ac:dyDescent="0.2">
      <c r="A44" s="114">
        <v>39</v>
      </c>
      <c r="B44" s="1" t="s">
        <v>92</v>
      </c>
      <c r="C44" s="6" t="s">
        <v>5048</v>
      </c>
      <c r="D44" s="7" t="s">
        <v>93</v>
      </c>
      <c r="E44" s="2" t="s">
        <v>89</v>
      </c>
      <c r="F44" s="99" t="s">
        <v>14</v>
      </c>
      <c r="G44" s="121">
        <v>100</v>
      </c>
      <c r="H44" s="122">
        <f t="shared" si="0"/>
        <v>400</v>
      </c>
      <c r="I44" s="520">
        <f>+(335+1085)/4</f>
        <v>355</v>
      </c>
      <c r="J44" s="514">
        <f t="shared" si="1"/>
        <v>755</v>
      </c>
      <c r="K44" s="262"/>
      <c r="L44" s="267"/>
    </row>
    <row r="45" spans="1:12" ht="20.25" customHeight="1" thickBot="1" x14ac:dyDescent="0.25">
      <c r="A45" s="158">
        <v>40</v>
      </c>
      <c r="B45" s="159" t="s">
        <v>94</v>
      </c>
      <c r="C45" s="160" t="s">
        <v>5049</v>
      </c>
      <c r="D45" s="161" t="s">
        <v>95</v>
      </c>
      <c r="E45" s="162" t="s">
        <v>89</v>
      </c>
      <c r="F45" s="163" t="s">
        <v>17</v>
      </c>
      <c r="G45" s="164">
        <v>50</v>
      </c>
      <c r="H45" s="153">
        <f t="shared" si="0"/>
        <v>450</v>
      </c>
      <c r="I45" s="521">
        <f>+(335+1085)/4</f>
        <v>355</v>
      </c>
      <c r="J45" s="516">
        <f t="shared" si="1"/>
        <v>805</v>
      </c>
      <c r="K45" s="277"/>
      <c r="L45" s="364"/>
    </row>
    <row r="46" spans="1:12" ht="20.25" customHeight="1" x14ac:dyDescent="0.2">
      <c r="A46" s="115">
        <v>41</v>
      </c>
      <c r="B46" s="64" t="s">
        <v>96</v>
      </c>
      <c r="C46" s="65" t="s">
        <v>5050</v>
      </c>
      <c r="D46" s="66" t="s">
        <v>97</v>
      </c>
      <c r="E46" s="67" t="s">
        <v>98</v>
      </c>
      <c r="F46" s="98" t="s">
        <v>8</v>
      </c>
      <c r="G46" s="123">
        <v>150</v>
      </c>
      <c r="H46" s="124">
        <f t="shared" si="0"/>
        <v>350</v>
      </c>
      <c r="I46" s="513">
        <f>+(760+1170)/4</f>
        <v>482.5</v>
      </c>
      <c r="J46" s="517">
        <f t="shared" si="1"/>
        <v>832.5</v>
      </c>
      <c r="K46" s="264"/>
      <c r="L46" s="363"/>
    </row>
    <row r="47" spans="1:12" ht="20.25" customHeight="1" x14ac:dyDescent="0.2">
      <c r="A47" s="114">
        <v>42</v>
      </c>
      <c r="B47" s="1" t="s">
        <v>99</v>
      </c>
      <c r="C47" s="6" t="s">
        <v>5051</v>
      </c>
      <c r="D47" s="7" t="s">
        <v>100</v>
      </c>
      <c r="E47" s="2" t="s">
        <v>98</v>
      </c>
      <c r="F47" s="99" t="s">
        <v>11</v>
      </c>
      <c r="G47" s="121">
        <v>150</v>
      </c>
      <c r="H47" s="122">
        <f t="shared" si="0"/>
        <v>350</v>
      </c>
      <c r="I47" s="520">
        <f>+(760+1170)/4</f>
        <v>482.5</v>
      </c>
      <c r="J47" s="514">
        <f t="shared" si="1"/>
        <v>832.5</v>
      </c>
      <c r="K47" s="262"/>
      <c r="L47" s="267"/>
    </row>
    <row r="48" spans="1:12" ht="20.25" customHeight="1" x14ac:dyDescent="0.2">
      <c r="A48" s="114">
        <v>43</v>
      </c>
      <c r="B48" s="1" t="s">
        <v>101</v>
      </c>
      <c r="C48" s="6" t="s">
        <v>5052</v>
      </c>
      <c r="D48" s="7" t="s">
        <v>102</v>
      </c>
      <c r="E48" s="2" t="s">
        <v>98</v>
      </c>
      <c r="F48" s="99" t="s">
        <v>14</v>
      </c>
      <c r="G48" s="121">
        <v>150</v>
      </c>
      <c r="H48" s="122">
        <f t="shared" si="0"/>
        <v>350</v>
      </c>
      <c r="I48" s="520">
        <f>+(760+1170)/4</f>
        <v>482.5</v>
      </c>
      <c r="J48" s="514">
        <f t="shared" si="1"/>
        <v>832.5</v>
      </c>
      <c r="K48" s="262"/>
      <c r="L48" s="267"/>
    </row>
    <row r="49" spans="1:12" ht="20.25" customHeight="1" thickBot="1" x14ac:dyDescent="0.25">
      <c r="A49" s="117">
        <v>44</v>
      </c>
      <c r="B49" s="3" t="s">
        <v>103</v>
      </c>
      <c r="C49" s="8" t="s">
        <v>5053</v>
      </c>
      <c r="D49" s="9" t="s">
        <v>104</v>
      </c>
      <c r="E49" s="4" t="s">
        <v>98</v>
      </c>
      <c r="F49" s="101" t="s">
        <v>17</v>
      </c>
      <c r="G49" s="128">
        <v>150</v>
      </c>
      <c r="H49" s="157">
        <f t="shared" si="0"/>
        <v>350</v>
      </c>
      <c r="I49" s="522">
        <f>+(760+1170)/4</f>
        <v>482.5</v>
      </c>
      <c r="J49" s="519">
        <f t="shared" si="1"/>
        <v>832.5</v>
      </c>
      <c r="K49" s="268"/>
      <c r="L49" s="269"/>
    </row>
    <row r="50" spans="1:12" ht="20.25" customHeight="1" x14ac:dyDescent="0.2">
      <c r="A50" s="108">
        <v>45</v>
      </c>
      <c r="B50" s="174" t="s">
        <v>105</v>
      </c>
      <c r="C50" s="175" t="s">
        <v>5054</v>
      </c>
      <c r="D50" s="176" t="s">
        <v>106</v>
      </c>
      <c r="E50" s="177" t="s">
        <v>107</v>
      </c>
      <c r="F50" s="178" t="s">
        <v>8</v>
      </c>
      <c r="G50" s="179">
        <v>100</v>
      </c>
      <c r="H50" s="120">
        <f t="shared" si="0"/>
        <v>400</v>
      </c>
      <c r="I50" s="511">
        <f>+(0+300)/4</f>
        <v>75</v>
      </c>
      <c r="J50" s="512">
        <f t="shared" si="1"/>
        <v>475</v>
      </c>
      <c r="K50" s="260"/>
      <c r="L50" s="365"/>
    </row>
    <row r="51" spans="1:12" ht="20.25" customHeight="1" x14ac:dyDescent="0.2">
      <c r="A51" s="114">
        <v>46</v>
      </c>
      <c r="B51" s="47" t="s">
        <v>4843</v>
      </c>
      <c r="C51" s="10" t="s">
        <v>5055</v>
      </c>
      <c r="D51" s="11" t="s">
        <v>4948</v>
      </c>
      <c r="E51" s="5">
        <v>1213</v>
      </c>
      <c r="F51" s="100">
        <v>2</v>
      </c>
      <c r="G51" s="125">
        <v>150</v>
      </c>
      <c r="H51" s="122">
        <f t="shared" si="0"/>
        <v>350</v>
      </c>
      <c r="I51" s="520">
        <f>+(0+300)/4</f>
        <v>75</v>
      </c>
      <c r="J51" s="514">
        <f t="shared" si="1"/>
        <v>425</v>
      </c>
      <c r="K51" s="262"/>
      <c r="L51" s="267"/>
    </row>
    <row r="52" spans="1:12" ht="20.25" customHeight="1" x14ac:dyDescent="0.2">
      <c r="A52" s="114">
        <v>47</v>
      </c>
      <c r="B52" s="47" t="s">
        <v>108</v>
      </c>
      <c r="C52" s="10" t="s">
        <v>5056</v>
      </c>
      <c r="D52" s="11" t="s">
        <v>109</v>
      </c>
      <c r="E52" s="5" t="s">
        <v>107</v>
      </c>
      <c r="F52" s="100" t="s">
        <v>14</v>
      </c>
      <c r="G52" s="125">
        <v>50</v>
      </c>
      <c r="H52" s="122">
        <f t="shared" si="0"/>
        <v>450</v>
      </c>
      <c r="I52" s="520">
        <f>+(0+300)/4</f>
        <v>75</v>
      </c>
      <c r="J52" s="514">
        <f t="shared" si="1"/>
        <v>525</v>
      </c>
      <c r="K52" s="262"/>
      <c r="L52" s="267"/>
    </row>
    <row r="53" spans="1:12" ht="20.25" customHeight="1" thickBot="1" x14ac:dyDescent="0.25">
      <c r="A53" s="158">
        <v>48</v>
      </c>
      <c r="B53" s="192" t="s">
        <v>110</v>
      </c>
      <c r="C53" s="193" t="s">
        <v>5057</v>
      </c>
      <c r="D53" s="194" t="s">
        <v>111</v>
      </c>
      <c r="E53" s="195" t="s">
        <v>107</v>
      </c>
      <c r="F53" s="196" t="s">
        <v>17</v>
      </c>
      <c r="G53" s="197">
        <v>100</v>
      </c>
      <c r="H53" s="153">
        <f t="shared" si="0"/>
        <v>400</v>
      </c>
      <c r="I53" s="521">
        <f>+(0+300)/4</f>
        <v>75</v>
      </c>
      <c r="J53" s="516">
        <f t="shared" si="1"/>
        <v>475</v>
      </c>
      <c r="K53" s="277"/>
      <c r="L53" s="364"/>
    </row>
    <row r="54" spans="1:12" ht="20.25" customHeight="1" x14ac:dyDescent="0.2">
      <c r="A54" s="115">
        <v>49</v>
      </c>
      <c r="B54" s="64" t="s">
        <v>112</v>
      </c>
      <c r="C54" s="65" t="s">
        <v>5058</v>
      </c>
      <c r="D54" s="66" t="s">
        <v>113</v>
      </c>
      <c r="E54" s="67" t="s">
        <v>114</v>
      </c>
      <c r="F54" s="98" t="s">
        <v>8</v>
      </c>
      <c r="G54" s="123">
        <v>50</v>
      </c>
      <c r="H54" s="124">
        <f t="shared" si="0"/>
        <v>450</v>
      </c>
      <c r="I54" s="513">
        <f>+(235+670)/4</f>
        <v>226.25</v>
      </c>
      <c r="J54" s="517">
        <f t="shared" si="1"/>
        <v>676.25</v>
      </c>
      <c r="K54" s="264"/>
      <c r="L54" s="363"/>
    </row>
    <row r="55" spans="1:12" ht="20.25" customHeight="1" x14ac:dyDescent="0.2">
      <c r="A55" s="114">
        <v>50</v>
      </c>
      <c r="B55" s="1" t="s">
        <v>115</v>
      </c>
      <c r="C55" s="6" t="s">
        <v>5035</v>
      </c>
      <c r="D55" s="7" t="s">
        <v>116</v>
      </c>
      <c r="E55" s="2" t="s">
        <v>114</v>
      </c>
      <c r="F55" s="99" t="s">
        <v>11</v>
      </c>
      <c r="G55" s="121">
        <v>50</v>
      </c>
      <c r="H55" s="122">
        <f t="shared" si="0"/>
        <v>450</v>
      </c>
      <c r="I55" s="520">
        <f>+(235+670)/4</f>
        <v>226.25</v>
      </c>
      <c r="J55" s="514">
        <f t="shared" si="1"/>
        <v>676.25</v>
      </c>
      <c r="K55" s="262"/>
      <c r="L55" s="267"/>
    </row>
    <row r="56" spans="1:12" ht="20.25" customHeight="1" x14ac:dyDescent="0.2">
      <c r="A56" s="114">
        <v>51</v>
      </c>
      <c r="B56" s="1" t="s">
        <v>117</v>
      </c>
      <c r="C56" s="6" t="s">
        <v>5059</v>
      </c>
      <c r="D56" s="7" t="s">
        <v>118</v>
      </c>
      <c r="E56" s="2" t="s">
        <v>114</v>
      </c>
      <c r="F56" s="99" t="s">
        <v>14</v>
      </c>
      <c r="G56" s="121">
        <v>50</v>
      </c>
      <c r="H56" s="122">
        <f t="shared" si="0"/>
        <v>450</v>
      </c>
      <c r="I56" s="520">
        <f>+(235+670)/4</f>
        <v>226.25</v>
      </c>
      <c r="J56" s="514">
        <f t="shared" si="1"/>
        <v>676.25</v>
      </c>
      <c r="K56" s="262"/>
      <c r="L56" s="267"/>
    </row>
    <row r="57" spans="1:12" ht="20.25" customHeight="1" thickBot="1" x14ac:dyDescent="0.25">
      <c r="A57" s="117">
        <v>52</v>
      </c>
      <c r="B57" s="3" t="s">
        <v>119</v>
      </c>
      <c r="C57" s="8" t="s">
        <v>5060</v>
      </c>
      <c r="D57" s="9" t="s">
        <v>120</v>
      </c>
      <c r="E57" s="4" t="s">
        <v>114</v>
      </c>
      <c r="F57" s="101" t="s">
        <v>17</v>
      </c>
      <c r="G57" s="128">
        <v>50</v>
      </c>
      <c r="H57" s="157">
        <f t="shared" si="0"/>
        <v>450</v>
      </c>
      <c r="I57" s="522">
        <f>+(235+670)/4</f>
        <v>226.25</v>
      </c>
      <c r="J57" s="519">
        <f t="shared" si="1"/>
        <v>676.25</v>
      </c>
      <c r="K57" s="268"/>
      <c r="L57" s="269"/>
    </row>
    <row r="58" spans="1:12" ht="20.25" customHeight="1" x14ac:dyDescent="0.2">
      <c r="A58" s="108">
        <v>53</v>
      </c>
      <c r="B58" s="171" t="s">
        <v>121</v>
      </c>
      <c r="C58" s="110" t="s">
        <v>5061</v>
      </c>
      <c r="D58" s="111" t="s">
        <v>122</v>
      </c>
      <c r="E58" s="112" t="s">
        <v>123</v>
      </c>
      <c r="F58" s="113" t="s">
        <v>8</v>
      </c>
      <c r="G58" s="119">
        <v>50</v>
      </c>
      <c r="H58" s="120">
        <f t="shared" si="0"/>
        <v>450</v>
      </c>
      <c r="I58" s="511">
        <f>+(0+0)/4</f>
        <v>0</v>
      </c>
      <c r="J58" s="512">
        <f t="shared" si="1"/>
        <v>450</v>
      </c>
      <c r="K58" s="260"/>
      <c r="L58" s="365"/>
    </row>
    <row r="59" spans="1:12" ht="20.25" customHeight="1" x14ac:dyDescent="0.2">
      <c r="A59" s="114">
        <v>54</v>
      </c>
      <c r="B59" s="1" t="s">
        <v>124</v>
      </c>
      <c r="C59" s="6" t="s">
        <v>5062</v>
      </c>
      <c r="D59" s="7" t="s">
        <v>125</v>
      </c>
      <c r="E59" s="2" t="s">
        <v>123</v>
      </c>
      <c r="F59" s="99" t="s">
        <v>11</v>
      </c>
      <c r="G59" s="121">
        <v>100</v>
      </c>
      <c r="H59" s="122">
        <f t="shared" si="0"/>
        <v>400</v>
      </c>
      <c r="I59" s="520">
        <f>+(0+0)/4</f>
        <v>0</v>
      </c>
      <c r="J59" s="514">
        <f t="shared" si="1"/>
        <v>400</v>
      </c>
      <c r="K59" s="262"/>
      <c r="L59" s="267"/>
    </row>
    <row r="60" spans="1:12" ht="20.25" customHeight="1" x14ac:dyDescent="0.2">
      <c r="A60" s="114">
        <v>55</v>
      </c>
      <c r="B60" s="1" t="s">
        <v>126</v>
      </c>
      <c r="C60" s="6" t="s">
        <v>5063</v>
      </c>
      <c r="D60" s="7" t="s">
        <v>127</v>
      </c>
      <c r="E60" s="2" t="s">
        <v>123</v>
      </c>
      <c r="F60" s="99" t="s">
        <v>14</v>
      </c>
      <c r="G60" s="121">
        <v>50</v>
      </c>
      <c r="H60" s="122">
        <f t="shared" si="0"/>
        <v>450</v>
      </c>
      <c r="I60" s="520">
        <f>+(0+0)/4</f>
        <v>0</v>
      </c>
      <c r="J60" s="514">
        <f t="shared" si="1"/>
        <v>450</v>
      </c>
      <c r="K60" s="262"/>
      <c r="L60" s="267"/>
    </row>
    <row r="61" spans="1:12" ht="20.25" customHeight="1" thickBot="1" x14ac:dyDescent="0.25">
      <c r="A61" s="158">
        <v>56</v>
      </c>
      <c r="B61" s="159" t="s">
        <v>128</v>
      </c>
      <c r="C61" s="160" t="s">
        <v>5064</v>
      </c>
      <c r="D61" s="161" t="s">
        <v>129</v>
      </c>
      <c r="E61" s="162" t="s">
        <v>123</v>
      </c>
      <c r="F61" s="163" t="s">
        <v>17</v>
      </c>
      <c r="G61" s="164">
        <v>50</v>
      </c>
      <c r="H61" s="153">
        <f t="shared" si="0"/>
        <v>450</v>
      </c>
      <c r="I61" s="521">
        <f>+(0+0)/4</f>
        <v>0</v>
      </c>
      <c r="J61" s="516">
        <f t="shared" si="1"/>
        <v>450</v>
      </c>
      <c r="K61" s="277"/>
      <c r="L61" s="364"/>
    </row>
    <row r="62" spans="1:12" ht="20.25" customHeight="1" x14ac:dyDescent="0.2">
      <c r="A62" s="115">
        <v>57</v>
      </c>
      <c r="B62" s="64" t="s">
        <v>130</v>
      </c>
      <c r="C62" s="65" t="s">
        <v>5065</v>
      </c>
      <c r="D62" s="66" t="s">
        <v>131</v>
      </c>
      <c r="E62" s="67" t="s">
        <v>132</v>
      </c>
      <c r="F62" s="98" t="s">
        <v>8</v>
      </c>
      <c r="G62" s="123">
        <v>50</v>
      </c>
      <c r="H62" s="124">
        <f t="shared" si="0"/>
        <v>450</v>
      </c>
      <c r="I62" s="513">
        <f>+(820+1025)/4</f>
        <v>461.25</v>
      </c>
      <c r="J62" s="517">
        <f t="shared" si="1"/>
        <v>911.25</v>
      </c>
      <c r="K62" s="264"/>
      <c r="L62" s="363"/>
    </row>
    <row r="63" spans="1:12" ht="20.25" customHeight="1" x14ac:dyDescent="0.2">
      <c r="A63" s="114">
        <v>58</v>
      </c>
      <c r="B63" s="1" t="s">
        <v>133</v>
      </c>
      <c r="C63" s="6" t="s">
        <v>5066</v>
      </c>
      <c r="D63" s="7" t="s">
        <v>134</v>
      </c>
      <c r="E63" s="2" t="s">
        <v>132</v>
      </c>
      <c r="F63" s="99" t="s">
        <v>11</v>
      </c>
      <c r="G63" s="121">
        <v>50</v>
      </c>
      <c r="H63" s="122">
        <f t="shared" si="0"/>
        <v>450</v>
      </c>
      <c r="I63" s="520">
        <f>+(820+1025)/4</f>
        <v>461.25</v>
      </c>
      <c r="J63" s="514">
        <f t="shared" si="1"/>
        <v>911.25</v>
      </c>
      <c r="K63" s="262"/>
      <c r="L63" s="267"/>
    </row>
    <row r="64" spans="1:12" ht="20.25" customHeight="1" x14ac:dyDescent="0.2">
      <c r="A64" s="114">
        <v>59</v>
      </c>
      <c r="B64" s="1" t="s">
        <v>135</v>
      </c>
      <c r="C64" s="6" t="s">
        <v>5056</v>
      </c>
      <c r="D64" s="7" t="s">
        <v>136</v>
      </c>
      <c r="E64" s="2" t="s">
        <v>132</v>
      </c>
      <c r="F64" s="99" t="s">
        <v>14</v>
      </c>
      <c r="G64" s="121">
        <v>150</v>
      </c>
      <c r="H64" s="122">
        <f t="shared" si="0"/>
        <v>350</v>
      </c>
      <c r="I64" s="520">
        <f>+(820+1025)/4</f>
        <v>461.25</v>
      </c>
      <c r="J64" s="514">
        <f t="shared" si="1"/>
        <v>811.25</v>
      </c>
      <c r="K64" s="262"/>
      <c r="L64" s="267"/>
    </row>
    <row r="65" spans="1:12" ht="20.25" customHeight="1" thickBot="1" x14ac:dyDescent="0.25">
      <c r="A65" s="117">
        <v>60</v>
      </c>
      <c r="B65" s="3" t="s">
        <v>137</v>
      </c>
      <c r="C65" s="8" t="s">
        <v>5012</v>
      </c>
      <c r="D65" s="9" t="s">
        <v>138</v>
      </c>
      <c r="E65" s="4" t="s">
        <v>132</v>
      </c>
      <c r="F65" s="101" t="s">
        <v>17</v>
      </c>
      <c r="G65" s="128">
        <v>50</v>
      </c>
      <c r="H65" s="157">
        <f t="shared" si="0"/>
        <v>450</v>
      </c>
      <c r="I65" s="522">
        <f>+(820+1025)/4</f>
        <v>461.25</v>
      </c>
      <c r="J65" s="519">
        <f t="shared" si="1"/>
        <v>911.25</v>
      </c>
      <c r="K65" s="268"/>
      <c r="L65" s="269"/>
    </row>
    <row r="66" spans="1:12" ht="20.25" customHeight="1" x14ac:dyDescent="0.2">
      <c r="A66" s="165">
        <v>61</v>
      </c>
      <c r="B66" s="166" t="s">
        <v>139</v>
      </c>
      <c r="C66" s="241" t="s">
        <v>5067</v>
      </c>
      <c r="D66" s="168" t="s">
        <v>140</v>
      </c>
      <c r="E66" s="169" t="s">
        <v>141</v>
      </c>
      <c r="F66" s="167" t="s">
        <v>8</v>
      </c>
      <c r="G66" s="170">
        <v>150</v>
      </c>
      <c r="H66" s="246">
        <f t="shared" si="0"/>
        <v>350</v>
      </c>
      <c r="I66" s="525">
        <f>+(590+1190)/4</f>
        <v>445</v>
      </c>
      <c r="J66" s="526">
        <f t="shared" si="1"/>
        <v>795</v>
      </c>
      <c r="K66" s="366" t="s">
        <v>4996</v>
      </c>
      <c r="L66" s="365">
        <v>5780</v>
      </c>
    </row>
    <row r="67" spans="1:12" ht="20.25" customHeight="1" x14ac:dyDescent="0.2">
      <c r="A67" s="114">
        <v>62</v>
      </c>
      <c r="B67" s="1" t="s">
        <v>142</v>
      </c>
      <c r="C67" s="6" t="s">
        <v>5068</v>
      </c>
      <c r="D67" s="7" t="s">
        <v>143</v>
      </c>
      <c r="E67" s="2" t="s">
        <v>141</v>
      </c>
      <c r="F67" s="99" t="s">
        <v>11</v>
      </c>
      <c r="G67" s="121">
        <v>100</v>
      </c>
      <c r="H67" s="122">
        <f t="shared" si="0"/>
        <v>400</v>
      </c>
      <c r="I67" s="520">
        <f>+(590+1190)/4</f>
        <v>445</v>
      </c>
      <c r="J67" s="514">
        <f t="shared" si="1"/>
        <v>845</v>
      </c>
      <c r="K67" s="262"/>
      <c r="L67" s="267"/>
    </row>
    <row r="68" spans="1:12" ht="20.25" customHeight="1" x14ac:dyDescent="0.2">
      <c r="A68" s="114">
        <v>63</v>
      </c>
      <c r="B68" s="1" t="s">
        <v>144</v>
      </c>
      <c r="C68" s="6" t="s">
        <v>5069</v>
      </c>
      <c r="D68" s="7" t="s">
        <v>145</v>
      </c>
      <c r="E68" s="2" t="s">
        <v>141</v>
      </c>
      <c r="F68" s="99" t="s">
        <v>14</v>
      </c>
      <c r="G68" s="121">
        <v>100</v>
      </c>
      <c r="H68" s="122">
        <f t="shared" si="0"/>
        <v>400</v>
      </c>
      <c r="I68" s="520">
        <f>+(590+1190)/4</f>
        <v>445</v>
      </c>
      <c r="J68" s="514">
        <f t="shared" si="1"/>
        <v>845</v>
      </c>
      <c r="K68" s="262"/>
      <c r="L68" s="267"/>
    </row>
    <row r="69" spans="1:12" ht="20.25" customHeight="1" thickBot="1" x14ac:dyDescent="0.25">
      <c r="A69" s="158">
        <v>64</v>
      </c>
      <c r="B69" s="159" t="s">
        <v>146</v>
      </c>
      <c r="C69" s="160" t="s">
        <v>5070</v>
      </c>
      <c r="D69" s="161" t="s">
        <v>147</v>
      </c>
      <c r="E69" s="162" t="s">
        <v>141</v>
      </c>
      <c r="F69" s="163" t="s">
        <v>17</v>
      </c>
      <c r="G69" s="164">
        <v>100</v>
      </c>
      <c r="H69" s="153">
        <f t="shared" si="0"/>
        <v>400</v>
      </c>
      <c r="I69" s="521">
        <f>+(590+1190)/4</f>
        <v>445</v>
      </c>
      <c r="J69" s="516">
        <f t="shared" si="1"/>
        <v>845</v>
      </c>
      <c r="K69" s="277"/>
      <c r="L69" s="364"/>
    </row>
    <row r="70" spans="1:12" ht="20.25" customHeight="1" x14ac:dyDescent="0.2">
      <c r="A70" s="115">
        <v>65</v>
      </c>
      <c r="B70" s="64" t="s">
        <v>148</v>
      </c>
      <c r="C70" s="65" t="s">
        <v>5071</v>
      </c>
      <c r="D70" s="66" t="s">
        <v>149</v>
      </c>
      <c r="E70" s="67" t="s">
        <v>150</v>
      </c>
      <c r="F70" s="98" t="s">
        <v>8</v>
      </c>
      <c r="G70" s="123">
        <v>100</v>
      </c>
      <c r="H70" s="124">
        <f t="shared" si="0"/>
        <v>400</v>
      </c>
      <c r="I70" s="513">
        <f>+(0+460)/4</f>
        <v>115</v>
      </c>
      <c r="J70" s="517">
        <f t="shared" si="1"/>
        <v>515</v>
      </c>
      <c r="K70" s="264"/>
      <c r="L70" s="363"/>
    </row>
    <row r="71" spans="1:12" ht="20.25" customHeight="1" x14ac:dyDescent="0.2">
      <c r="A71" s="114">
        <v>66</v>
      </c>
      <c r="B71" s="1" t="s">
        <v>151</v>
      </c>
      <c r="C71" s="6" t="s">
        <v>5072</v>
      </c>
      <c r="D71" s="7" t="s">
        <v>152</v>
      </c>
      <c r="E71" s="2" t="s">
        <v>150</v>
      </c>
      <c r="F71" s="99" t="s">
        <v>11</v>
      </c>
      <c r="G71" s="121">
        <v>50</v>
      </c>
      <c r="H71" s="122">
        <f t="shared" ref="H71:H134" si="2">500-G71</f>
        <v>450</v>
      </c>
      <c r="I71" s="520">
        <f>+(0+460)/4</f>
        <v>115</v>
      </c>
      <c r="J71" s="514">
        <f t="shared" si="1"/>
        <v>565</v>
      </c>
      <c r="K71" s="262"/>
      <c r="L71" s="267"/>
    </row>
    <row r="72" spans="1:12" ht="20.25" customHeight="1" x14ac:dyDescent="0.2">
      <c r="A72" s="114">
        <v>67</v>
      </c>
      <c r="B72" s="1" t="s">
        <v>153</v>
      </c>
      <c r="C72" s="6" t="s">
        <v>5073</v>
      </c>
      <c r="D72" s="7" t="s">
        <v>154</v>
      </c>
      <c r="E72" s="2" t="s">
        <v>150</v>
      </c>
      <c r="F72" s="99" t="s">
        <v>14</v>
      </c>
      <c r="G72" s="121">
        <v>50</v>
      </c>
      <c r="H72" s="122">
        <f t="shared" si="2"/>
        <v>450</v>
      </c>
      <c r="I72" s="520">
        <f>+(0+460)/4</f>
        <v>115</v>
      </c>
      <c r="J72" s="514">
        <f t="shared" ref="J72:J135" si="3">SUM(H72:I72)</f>
        <v>565</v>
      </c>
      <c r="K72" s="262"/>
      <c r="L72" s="267"/>
    </row>
    <row r="73" spans="1:12" ht="20.25" customHeight="1" thickBot="1" x14ac:dyDescent="0.25">
      <c r="A73" s="117">
        <v>68</v>
      </c>
      <c r="B73" s="3" t="s">
        <v>155</v>
      </c>
      <c r="C73" s="8" t="s">
        <v>5074</v>
      </c>
      <c r="D73" s="9" t="s">
        <v>156</v>
      </c>
      <c r="E73" s="4" t="s">
        <v>150</v>
      </c>
      <c r="F73" s="101" t="s">
        <v>17</v>
      </c>
      <c r="G73" s="128">
        <v>50</v>
      </c>
      <c r="H73" s="157">
        <f t="shared" si="2"/>
        <v>450</v>
      </c>
      <c r="I73" s="522">
        <f>+(0+460)/4</f>
        <v>115</v>
      </c>
      <c r="J73" s="519">
        <f t="shared" si="3"/>
        <v>565</v>
      </c>
      <c r="K73" s="268"/>
      <c r="L73" s="269"/>
    </row>
    <row r="74" spans="1:12" ht="20.25" customHeight="1" x14ac:dyDescent="0.2">
      <c r="A74" s="108">
        <v>69</v>
      </c>
      <c r="B74" s="171" t="s">
        <v>157</v>
      </c>
      <c r="C74" s="110" t="s">
        <v>5075</v>
      </c>
      <c r="D74" s="111" t="s">
        <v>158</v>
      </c>
      <c r="E74" s="112" t="s">
        <v>159</v>
      </c>
      <c r="F74" s="113" t="s">
        <v>8</v>
      </c>
      <c r="G74" s="119">
        <v>150</v>
      </c>
      <c r="H74" s="120">
        <f t="shared" si="2"/>
        <v>350</v>
      </c>
      <c r="I74" s="511">
        <f>+(115+790)/4</f>
        <v>226.25</v>
      </c>
      <c r="J74" s="512">
        <f t="shared" si="3"/>
        <v>576.25</v>
      </c>
      <c r="K74" s="260"/>
      <c r="L74" s="365"/>
    </row>
    <row r="75" spans="1:12" ht="20.25" customHeight="1" x14ac:dyDescent="0.2">
      <c r="A75" s="114">
        <v>70</v>
      </c>
      <c r="B75" s="1" t="s">
        <v>160</v>
      </c>
      <c r="C75" s="6" t="s">
        <v>5076</v>
      </c>
      <c r="D75" s="7" t="s">
        <v>161</v>
      </c>
      <c r="E75" s="2" t="s">
        <v>159</v>
      </c>
      <c r="F75" s="99" t="s">
        <v>11</v>
      </c>
      <c r="G75" s="121">
        <v>50</v>
      </c>
      <c r="H75" s="122">
        <f t="shared" si="2"/>
        <v>450</v>
      </c>
      <c r="I75" s="520">
        <f>+(115+790)/4</f>
        <v>226.25</v>
      </c>
      <c r="J75" s="514">
        <f t="shared" si="3"/>
        <v>676.25</v>
      </c>
      <c r="K75" s="262"/>
      <c r="L75" s="267"/>
    </row>
    <row r="76" spans="1:12" ht="20.25" customHeight="1" x14ac:dyDescent="0.2">
      <c r="A76" s="114">
        <v>71</v>
      </c>
      <c r="B76" s="1" t="s">
        <v>162</v>
      </c>
      <c r="C76" s="6" t="s">
        <v>5077</v>
      </c>
      <c r="D76" s="7" t="s">
        <v>163</v>
      </c>
      <c r="E76" s="2" t="s">
        <v>159</v>
      </c>
      <c r="F76" s="99" t="s">
        <v>14</v>
      </c>
      <c r="G76" s="121">
        <v>100</v>
      </c>
      <c r="H76" s="122">
        <f t="shared" si="2"/>
        <v>400</v>
      </c>
      <c r="I76" s="520">
        <f>+(115+790)/4</f>
        <v>226.25</v>
      </c>
      <c r="J76" s="514">
        <f t="shared" si="3"/>
        <v>626.25</v>
      </c>
      <c r="K76" s="262"/>
      <c r="L76" s="267"/>
    </row>
    <row r="77" spans="1:12" ht="20.25" customHeight="1" thickBot="1" x14ac:dyDescent="0.25">
      <c r="A77" s="158">
        <v>72</v>
      </c>
      <c r="B77" s="159" t="s">
        <v>164</v>
      </c>
      <c r="C77" s="160" t="s">
        <v>5046</v>
      </c>
      <c r="D77" s="161" t="s">
        <v>165</v>
      </c>
      <c r="E77" s="162" t="s">
        <v>159</v>
      </c>
      <c r="F77" s="163" t="s">
        <v>17</v>
      </c>
      <c r="G77" s="164">
        <v>350</v>
      </c>
      <c r="H77" s="153">
        <f t="shared" si="2"/>
        <v>150</v>
      </c>
      <c r="I77" s="521">
        <f>+(115+790)/4</f>
        <v>226.25</v>
      </c>
      <c r="J77" s="516">
        <f t="shared" si="3"/>
        <v>376.25</v>
      </c>
      <c r="K77" s="277"/>
      <c r="L77" s="364"/>
    </row>
    <row r="78" spans="1:12" ht="20.25" customHeight="1" x14ac:dyDescent="0.2">
      <c r="A78" s="115">
        <v>73</v>
      </c>
      <c r="B78" s="64" t="s">
        <v>166</v>
      </c>
      <c r="C78" s="65" t="s">
        <v>5078</v>
      </c>
      <c r="D78" s="66" t="s">
        <v>167</v>
      </c>
      <c r="E78" s="67" t="s">
        <v>168</v>
      </c>
      <c r="F78" s="98" t="s">
        <v>8</v>
      </c>
      <c r="G78" s="123">
        <v>100</v>
      </c>
      <c r="H78" s="124">
        <f t="shared" si="2"/>
        <v>400</v>
      </c>
      <c r="I78" s="513">
        <f>+(0+275)/4</f>
        <v>68.75</v>
      </c>
      <c r="J78" s="517">
        <f t="shared" si="3"/>
        <v>468.75</v>
      </c>
      <c r="K78" s="264"/>
      <c r="L78" s="363"/>
    </row>
    <row r="79" spans="1:12" ht="20.25" customHeight="1" x14ac:dyDescent="0.2">
      <c r="A79" s="114">
        <v>74</v>
      </c>
      <c r="B79" s="1" t="s">
        <v>169</v>
      </c>
      <c r="C79" s="6" t="s">
        <v>5079</v>
      </c>
      <c r="D79" s="7" t="s">
        <v>170</v>
      </c>
      <c r="E79" s="2" t="s">
        <v>168</v>
      </c>
      <c r="F79" s="99" t="s">
        <v>11</v>
      </c>
      <c r="G79" s="121">
        <v>100</v>
      </c>
      <c r="H79" s="122">
        <f t="shared" si="2"/>
        <v>400</v>
      </c>
      <c r="I79" s="520">
        <f>+(0+275)/4</f>
        <v>68.75</v>
      </c>
      <c r="J79" s="514">
        <f t="shared" si="3"/>
        <v>468.75</v>
      </c>
      <c r="K79" s="262"/>
      <c r="L79" s="267"/>
    </row>
    <row r="80" spans="1:12" ht="20.25" customHeight="1" x14ac:dyDescent="0.2">
      <c r="A80" s="114">
        <v>75</v>
      </c>
      <c r="B80" s="1" t="s">
        <v>171</v>
      </c>
      <c r="C80" s="6" t="s">
        <v>5080</v>
      </c>
      <c r="D80" s="7" t="s">
        <v>172</v>
      </c>
      <c r="E80" s="2" t="s">
        <v>168</v>
      </c>
      <c r="F80" s="99" t="s">
        <v>14</v>
      </c>
      <c r="G80" s="121">
        <v>50</v>
      </c>
      <c r="H80" s="122">
        <f t="shared" si="2"/>
        <v>450</v>
      </c>
      <c r="I80" s="520">
        <f>+(0+275)/4</f>
        <v>68.75</v>
      </c>
      <c r="J80" s="514">
        <f t="shared" si="3"/>
        <v>518.75</v>
      </c>
      <c r="K80" s="262"/>
      <c r="L80" s="267"/>
    </row>
    <row r="81" spans="1:12" ht="20.25" customHeight="1" thickBot="1" x14ac:dyDescent="0.25">
      <c r="A81" s="117">
        <v>76</v>
      </c>
      <c r="B81" s="3" t="s">
        <v>173</v>
      </c>
      <c r="C81" s="8" t="s">
        <v>5066</v>
      </c>
      <c r="D81" s="9" t="s">
        <v>174</v>
      </c>
      <c r="E81" s="4" t="s">
        <v>168</v>
      </c>
      <c r="F81" s="101" t="s">
        <v>17</v>
      </c>
      <c r="G81" s="128">
        <v>50</v>
      </c>
      <c r="H81" s="157">
        <f t="shared" si="2"/>
        <v>450</v>
      </c>
      <c r="I81" s="522">
        <f>+(0+275)/4</f>
        <v>68.75</v>
      </c>
      <c r="J81" s="519">
        <f t="shared" si="3"/>
        <v>518.75</v>
      </c>
      <c r="K81" s="268"/>
      <c r="L81" s="269"/>
    </row>
    <row r="82" spans="1:12" ht="20.25" customHeight="1" x14ac:dyDescent="0.2">
      <c r="A82" s="108">
        <v>77</v>
      </c>
      <c r="B82" s="171" t="s">
        <v>175</v>
      </c>
      <c r="C82" s="110" t="s">
        <v>5081</v>
      </c>
      <c r="D82" s="111" t="s">
        <v>176</v>
      </c>
      <c r="E82" s="112" t="s">
        <v>177</v>
      </c>
      <c r="F82" s="113" t="s">
        <v>8</v>
      </c>
      <c r="G82" s="119">
        <v>50</v>
      </c>
      <c r="H82" s="120">
        <f t="shared" si="2"/>
        <v>450</v>
      </c>
      <c r="I82" s="511">
        <f>+(90+740)/4</f>
        <v>207.5</v>
      </c>
      <c r="J82" s="512">
        <f t="shared" si="3"/>
        <v>657.5</v>
      </c>
      <c r="K82" s="260"/>
      <c r="L82" s="365"/>
    </row>
    <row r="83" spans="1:12" ht="20.25" customHeight="1" x14ac:dyDescent="0.2">
      <c r="A83" s="114">
        <v>78</v>
      </c>
      <c r="B83" s="1" t="s">
        <v>178</v>
      </c>
      <c r="C83" s="6" t="s">
        <v>5082</v>
      </c>
      <c r="D83" s="7" t="s">
        <v>179</v>
      </c>
      <c r="E83" s="2" t="s">
        <v>177</v>
      </c>
      <c r="F83" s="99" t="s">
        <v>11</v>
      </c>
      <c r="G83" s="121">
        <v>50</v>
      </c>
      <c r="H83" s="122">
        <f t="shared" si="2"/>
        <v>450</v>
      </c>
      <c r="I83" s="520">
        <f>+(90+740)/4</f>
        <v>207.5</v>
      </c>
      <c r="J83" s="514">
        <f t="shared" si="3"/>
        <v>657.5</v>
      </c>
      <c r="K83" s="262"/>
      <c r="L83" s="267"/>
    </row>
    <row r="84" spans="1:12" ht="20.25" customHeight="1" x14ac:dyDescent="0.2">
      <c r="A84" s="114">
        <v>79</v>
      </c>
      <c r="B84" s="1" t="s">
        <v>180</v>
      </c>
      <c r="C84" s="6" t="s">
        <v>5083</v>
      </c>
      <c r="D84" s="7" t="s">
        <v>181</v>
      </c>
      <c r="E84" s="2" t="s">
        <v>177</v>
      </c>
      <c r="F84" s="99" t="s">
        <v>14</v>
      </c>
      <c r="G84" s="121">
        <v>100</v>
      </c>
      <c r="H84" s="122">
        <f t="shared" si="2"/>
        <v>400</v>
      </c>
      <c r="I84" s="520">
        <f>+(90+740)/4</f>
        <v>207.5</v>
      </c>
      <c r="J84" s="514">
        <f t="shared" si="3"/>
        <v>607.5</v>
      </c>
      <c r="K84" s="262"/>
      <c r="L84" s="267"/>
    </row>
    <row r="85" spans="1:12" ht="20.25" customHeight="1" thickBot="1" x14ac:dyDescent="0.25">
      <c r="A85" s="158">
        <v>80</v>
      </c>
      <c r="B85" s="159" t="s">
        <v>182</v>
      </c>
      <c r="C85" s="160" t="s">
        <v>5084</v>
      </c>
      <c r="D85" s="161" t="s">
        <v>183</v>
      </c>
      <c r="E85" s="162" t="s">
        <v>177</v>
      </c>
      <c r="F85" s="163" t="s">
        <v>17</v>
      </c>
      <c r="G85" s="164">
        <v>50</v>
      </c>
      <c r="H85" s="153">
        <f t="shared" si="2"/>
        <v>450</v>
      </c>
      <c r="I85" s="521">
        <f>+(90+740)/4</f>
        <v>207.5</v>
      </c>
      <c r="J85" s="516">
        <f t="shared" si="3"/>
        <v>657.5</v>
      </c>
      <c r="K85" s="277"/>
      <c r="L85" s="364"/>
    </row>
    <row r="86" spans="1:12" ht="20.25" customHeight="1" x14ac:dyDescent="0.2">
      <c r="A86" s="115">
        <v>81</v>
      </c>
      <c r="B86" s="64" t="s">
        <v>184</v>
      </c>
      <c r="C86" s="65" t="s">
        <v>5085</v>
      </c>
      <c r="D86" s="66" t="s">
        <v>185</v>
      </c>
      <c r="E86" s="67" t="s">
        <v>186</v>
      </c>
      <c r="F86" s="98" t="s">
        <v>8</v>
      </c>
      <c r="G86" s="123">
        <v>50</v>
      </c>
      <c r="H86" s="124">
        <f t="shared" si="2"/>
        <v>450</v>
      </c>
      <c r="I86" s="513">
        <f>+(590+1095)/4</f>
        <v>421.25</v>
      </c>
      <c r="J86" s="517">
        <f t="shared" si="3"/>
        <v>871.25</v>
      </c>
      <c r="K86" s="264"/>
      <c r="L86" s="363"/>
    </row>
    <row r="87" spans="1:12" ht="20.25" customHeight="1" x14ac:dyDescent="0.2">
      <c r="A87" s="114">
        <v>82</v>
      </c>
      <c r="B87" s="1" t="s">
        <v>187</v>
      </c>
      <c r="C87" s="6" t="s">
        <v>5086</v>
      </c>
      <c r="D87" s="7" t="s">
        <v>188</v>
      </c>
      <c r="E87" s="2" t="s">
        <v>186</v>
      </c>
      <c r="F87" s="99" t="s">
        <v>11</v>
      </c>
      <c r="G87" s="121">
        <v>50</v>
      </c>
      <c r="H87" s="122">
        <f t="shared" si="2"/>
        <v>450</v>
      </c>
      <c r="I87" s="520">
        <f>+(590+1095)/4</f>
        <v>421.25</v>
      </c>
      <c r="J87" s="514">
        <f t="shared" si="3"/>
        <v>871.25</v>
      </c>
      <c r="K87" s="262"/>
      <c r="L87" s="267"/>
    </row>
    <row r="88" spans="1:12" ht="20.25" customHeight="1" x14ac:dyDescent="0.2">
      <c r="A88" s="114">
        <v>83</v>
      </c>
      <c r="B88" s="1" t="s">
        <v>189</v>
      </c>
      <c r="C88" s="6" t="s">
        <v>5087</v>
      </c>
      <c r="D88" s="7" t="s">
        <v>190</v>
      </c>
      <c r="E88" s="2" t="s">
        <v>186</v>
      </c>
      <c r="F88" s="99" t="s">
        <v>14</v>
      </c>
      <c r="G88" s="121">
        <v>150</v>
      </c>
      <c r="H88" s="122">
        <f t="shared" si="2"/>
        <v>350</v>
      </c>
      <c r="I88" s="520">
        <f>+(590+1095)/4</f>
        <v>421.25</v>
      </c>
      <c r="J88" s="514" t="s">
        <v>5727</v>
      </c>
      <c r="K88" s="262"/>
      <c r="L88" s="267"/>
    </row>
    <row r="89" spans="1:12" ht="20.25" customHeight="1" thickBot="1" x14ac:dyDescent="0.25">
      <c r="A89" s="117">
        <v>84</v>
      </c>
      <c r="B89" s="3" t="s">
        <v>191</v>
      </c>
      <c r="C89" s="8" t="s">
        <v>5088</v>
      </c>
      <c r="D89" s="9" t="s">
        <v>192</v>
      </c>
      <c r="E89" s="4" t="s">
        <v>186</v>
      </c>
      <c r="F89" s="101" t="s">
        <v>17</v>
      </c>
      <c r="G89" s="128">
        <v>150</v>
      </c>
      <c r="H89" s="157">
        <f t="shared" si="2"/>
        <v>350</v>
      </c>
      <c r="I89" s="522">
        <f>+(590+1095)/4</f>
        <v>421.25</v>
      </c>
      <c r="J89" s="519">
        <f t="shared" si="3"/>
        <v>771.25</v>
      </c>
      <c r="K89" s="268"/>
      <c r="L89" s="269"/>
    </row>
    <row r="90" spans="1:12" ht="20.25" customHeight="1" x14ac:dyDescent="0.2">
      <c r="A90" s="108">
        <v>85</v>
      </c>
      <c r="B90" s="171" t="s">
        <v>193</v>
      </c>
      <c r="C90" s="110" t="s">
        <v>5089</v>
      </c>
      <c r="D90" s="111" t="s">
        <v>194</v>
      </c>
      <c r="E90" s="112" t="s">
        <v>195</v>
      </c>
      <c r="F90" s="113" t="s">
        <v>8</v>
      </c>
      <c r="G90" s="119">
        <v>150</v>
      </c>
      <c r="H90" s="120">
        <f t="shared" si="2"/>
        <v>350</v>
      </c>
      <c r="I90" s="511">
        <f>+(275+755)/4</f>
        <v>257.5</v>
      </c>
      <c r="J90" s="512">
        <f t="shared" si="3"/>
        <v>607.5</v>
      </c>
      <c r="K90" s="260"/>
      <c r="L90" s="365"/>
    </row>
    <row r="91" spans="1:12" ht="20.25" customHeight="1" x14ac:dyDescent="0.2">
      <c r="A91" s="114">
        <v>86</v>
      </c>
      <c r="B91" s="1" t="s">
        <v>196</v>
      </c>
      <c r="C91" s="6" t="s">
        <v>5090</v>
      </c>
      <c r="D91" s="7" t="s">
        <v>197</v>
      </c>
      <c r="E91" s="2" t="s">
        <v>195</v>
      </c>
      <c r="F91" s="99" t="s">
        <v>11</v>
      </c>
      <c r="G91" s="121">
        <v>100</v>
      </c>
      <c r="H91" s="122">
        <f t="shared" si="2"/>
        <v>400</v>
      </c>
      <c r="I91" s="520">
        <f>+(275+755)/4</f>
        <v>257.5</v>
      </c>
      <c r="J91" s="514">
        <f t="shared" si="3"/>
        <v>657.5</v>
      </c>
      <c r="K91" s="262"/>
      <c r="L91" s="267"/>
    </row>
    <row r="92" spans="1:12" ht="20.25" customHeight="1" x14ac:dyDescent="0.2">
      <c r="A92" s="114">
        <v>87</v>
      </c>
      <c r="B92" s="1" t="s">
        <v>198</v>
      </c>
      <c r="C92" s="6" t="s">
        <v>5091</v>
      </c>
      <c r="D92" s="7" t="s">
        <v>199</v>
      </c>
      <c r="E92" s="2" t="s">
        <v>195</v>
      </c>
      <c r="F92" s="99" t="s">
        <v>14</v>
      </c>
      <c r="G92" s="121">
        <v>100</v>
      </c>
      <c r="H92" s="122">
        <f t="shared" si="2"/>
        <v>400</v>
      </c>
      <c r="I92" s="520">
        <f>+(275+755)/4</f>
        <v>257.5</v>
      </c>
      <c r="J92" s="514">
        <f t="shared" si="3"/>
        <v>657.5</v>
      </c>
      <c r="K92" s="262"/>
      <c r="L92" s="267"/>
    </row>
    <row r="93" spans="1:12" ht="20.25" customHeight="1" thickBot="1" x14ac:dyDescent="0.25">
      <c r="A93" s="158">
        <v>88</v>
      </c>
      <c r="B93" s="159" t="s">
        <v>200</v>
      </c>
      <c r="C93" s="160" t="s">
        <v>5092</v>
      </c>
      <c r="D93" s="161" t="s">
        <v>201</v>
      </c>
      <c r="E93" s="162" t="s">
        <v>195</v>
      </c>
      <c r="F93" s="163" t="s">
        <v>17</v>
      </c>
      <c r="G93" s="164">
        <v>100</v>
      </c>
      <c r="H93" s="153">
        <f t="shared" si="2"/>
        <v>400</v>
      </c>
      <c r="I93" s="521">
        <f>+(275+755)/4</f>
        <v>257.5</v>
      </c>
      <c r="J93" s="516">
        <f t="shared" si="3"/>
        <v>657.5</v>
      </c>
      <c r="K93" s="277"/>
      <c r="L93" s="364"/>
    </row>
    <row r="94" spans="1:12" ht="20.25" customHeight="1" x14ac:dyDescent="0.2">
      <c r="A94" s="115">
        <v>89</v>
      </c>
      <c r="B94" s="64" t="s">
        <v>202</v>
      </c>
      <c r="C94" s="65" t="s">
        <v>5093</v>
      </c>
      <c r="D94" s="66" t="s">
        <v>203</v>
      </c>
      <c r="E94" s="67" t="s">
        <v>204</v>
      </c>
      <c r="F94" s="98" t="s">
        <v>8</v>
      </c>
      <c r="G94" s="123">
        <v>100</v>
      </c>
      <c r="H94" s="124">
        <f t="shared" si="2"/>
        <v>400</v>
      </c>
      <c r="I94" s="513">
        <f>+(405+0)/4</f>
        <v>101.25</v>
      </c>
      <c r="J94" s="517">
        <f t="shared" si="3"/>
        <v>501.25</v>
      </c>
      <c r="K94" s="264"/>
      <c r="L94" s="363"/>
    </row>
    <row r="95" spans="1:12" ht="20.25" customHeight="1" x14ac:dyDescent="0.2">
      <c r="A95" s="114">
        <v>90</v>
      </c>
      <c r="B95" s="1" t="s">
        <v>205</v>
      </c>
      <c r="C95" s="6" t="s">
        <v>5094</v>
      </c>
      <c r="D95" s="7" t="s">
        <v>206</v>
      </c>
      <c r="E95" s="2" t="s">
        <v>204</v>
      </c>
      <c r="F95" s="99" t="s">
        <v>11</v>
      </c>
      <c r="G95" s="121">
        <v>50</v>
      </c>
      <c r="H95" s="122">
        <f t="shared" si="2"/>
        <v>450</v>
      </c>
      <c r="I95" s="520">
        <f>+(405+0)/4</f>
        <v>101.25</v>
      </c>
      <c r="J95" s="514">
        <f t="shared" si="3"/>
        <v>551.25</v>
      </c>
      <c r="K95" s="262"/>
      <c r="L95" s="267"/>
    </row>
    <row r="96" spans="1:12" ht="20.25" customHeight="1" x14ac:dyDescent="0.2">
      <c r="A96" s="114">
        <v>91</v>
      </c>
      <c r="B96" s="1" t="s">
        <v>207</v>
      </c>
      <c r="C96" s="6" t="s">
        <v>5095</v>
      </c>
      <c r="D96" s="7" t="s">
        <v>208</v>
      </c>
      <c r="E96" s="2" t="s">
        <v>204</v>
      </c>
      <c r="F96" s="99" t="s">
        <v>14</v>
      </c>
      <c r="G96" s="121">
        <v>50</v>
      </c>
      <c r="H96" s="122">
        <f t="shared" si="2"/>
        <v>450</v>
      </c>
      <c r="I96" s="520">
        <f>+(405+0)/4</f>
        <v>101.25</v>
      </c>
      <c r="J96" s="514">
        <f t="shared" si="3"/>
        <v>551.25</v>
      </c>
      <c r="K96" s="262"/>
      <c r="L96" s="267"/>
    </row>
    <row r="97" spans="1:12" ht="20.25" customHeight="1" thickBot="1" x14ac:dyDescent="0.25">
      <c r="A97" s="117">
        <v>92</v>
      </c>
      <c r="B97" s="3" t="s">
        <v>209</v>
      </c>
      <c r="C97" s="8" t="s">
        <v>5035</v>
      </c>
      <c r="D97" s="9" t="s">
        <v>210</v>
      </c>
      <c r="E97" s="4" t="s">
        <v>204</v>
      </c>
      <c r="F97" s="101" t="s">
        <v>17</v>
      </c>
      <c r="G97" s="128">
        <v>50</v>
      </c>
      <c r="H97" s="157">
        <f t="shared" si="2"/>
        <v>450</v>
      </c>
      <c r="I97" s="522">
        <f>+(405+0)/4</f>
        <v>101.25</v>
      </c>
      <c r="J97" s="519">
        <f t="shared" si="3"/>
        <v>551.25</v>
      </c>
      <c r="K97" s="268"/>
      <c r="L97" s="269"/>
    </row>
    <row r="98" spans="1:12" ht="20.25" customHeight="1" x14ac:dyDescent="0.2">
      <c r="A98" s="108">
        <v>93</v>
      </c>
      <c r="B98" s="171" t="s">
        <v>211</v>
      </c>
      <c r="C98" s="110" t="s">
        <v>5096</v>
      </c>
      <c r="D98" s="111" t="s">
        <v>212</v>
      </c>
      <c r="E98" s="112" t="s">
        <v>213</v>
      </c>
      <c r="F98" s="113" t="s">
        <v>8</v>
      </c>
      <c r="G98" s="119">
        <v>150</v>
      </c>
      <c r="H98" s="120">
        <f t="shared" si="2"/>
        <v>350</v>
      </c>
      <c r="I98" s="511">
        <f>+(75+1070)/4</f>
        <v>286.25</v>
      </c>
      <c r="J98" s="512">
        <f t="shared" si="3"/>
        <v>636.25</v>
      </c>
      <c r="K98" s="260"/>
      <c r="L98" s="365"/>
    </row>
    <row r="99" spans="1:12" ht="20.25" customHeight="1" x14ac:dyDescent="0.2">
      <c r="A99" s="114">
        <v>94</v>
      </c>
      <c r="B99" s="1" t="s">
        <v>214</v>
      </c>
      <c r="C99" s="6" t="s">
        <v>5097</v>
      </c>
      <c r="D99" s="7" t="s">
        <v>215</v>
      </c>
      <c r="E99" s="2" t="s">
        <v>213</v>
      </c>
      <c r="F99" s="99" t="s">
        <v>11</v>
      </c>
      <c r="G99" s="121">
        <v>150</v>
      </c>
      <c r="H99" s="122">
        <f t="shared" si="2"/>
        <v>350</v>
      </c>
      <c r="I99" s="520">
        <f>+(75+1070)/4</f>
        <v>286.25</v>
      </c>
      <c r="J99" s="514">
        <f t="shared" si="3"/>
        <v>636.25</v>
      </c>
      <c r="K99" s="262"/>
      <c r="L99" s="267"/>
    </row>
    <row r="100" spans="1:12" ht="20.25" customHeight="1" x14ac:dyDescent="0.2">
      <c r="A100" s="114">
        <v>95</v>
      </c>
      <c r="B100" s="1" t="s">
        <v>216</v>
      </c>
      <c r="C100" s="6" t="s">
        <v>5098</v>
      </c>
      <c r="D100" s="7" t="s">
        <v>217</v>
      </c>
      <c r="E100" s="2" t="s">
        <v>213</v>
      </c>
      <c r="F100" s="99" t="s">
        <v>14</v>
      </c>
      <c r="G100" s="121">
        <v>150</v>
      </c>
      <c r="H100" s="122">
        <f t="shared" si="2"/>
        <v>350</v>
      </c>
      <c r="I100" s="520">
        <f>+(75+1070)/4</f>
        <v>286.25</v>
      </c>
      <c r="J100" s="514">
        <f t="shared" si="3"/>
        <v>636.25</v>
      </c>
      <c r="K100" s="262"/>
      <c r="L100" s="267"/>
    </row>
    <row r="101" spans="1:12" ht="20.25" customHeight="1" thickBot="1" x14ac:dyDescent="0.25">
      <c r="A101" s="158">
        <v>96</v>
      </c>
      <c r="B101" s="159" t="s">
        <v>218</v>
      </c>
      <c r="C101" s="160" t="s">
        <v>5099</v>
      </c>
      <c r="D101" s="161" t="s">
        <v>219</v>
      </c>
      <c r="E101" s="162" t="s">
        <v>213</v>
      </c>
      <c r="F101" s="163" t="s">
        <v>17</v>
      </c>
      <c r="G101" s="164">
        <v>100</v>
      </c>
      <c r="H101" s="153">
        <f t="shared" si="2"/>
        <v>400</v>
      </c>
      <c r="I101" s="521">
        <f>+(75+1070)/4</f>
        <v>286.25</v>
      </c>
      <c r="J101" s="516">
        <f t="shared" si="3"/>
        <v>686.25</v>
      </c>
      <c r="K101" s="277"/>
      <c r="L101" s="364"/>
    </row>
    <row r="102" spans="1:12" ht="20.25" customHeight="1" x14ac:dyDescent="0.2">
      <c r="A102" s="115">
        <v>97</v>
      </c>
      <c r="B102" s="64" t="s">
        <v>220</v>
      </c>
      <c r="C102" s="65" t="s">
        <v>5100</v>
      </c>
      <c r="D102" s="66" t="s">
        <v>221</v>
      </c>
      <c r="E102" s="67" t="s">
        <v>222</v>
      </c>
      <c r="F102" s="98" t="s">
        <v>8</v>
      </c>
      <c r="G102" s="123">
        <v>50</v>
      </c>
      <c r="H102" s="124">
        <f t="shared" si="2"/>
        <v>450</v>
      </c>
      <c r="I102" s="513">
        <f>+(0+175)/4</f>
        <v>43.75</v>
      </c>
      <c r="J102" s="517">
        <f t="shared" si="3"/>
        <v>493.75</v>
      </c>
      <c r="K102" s="264"/>
      <c r="L102" s="363"/>
    </row>
    <row r="103" spans="1:12" ht="20.25" customHeight="1" x14ac:dyDescent="0.2">
      <c r="A103" s="114">
        <v>98</v>
      </c>
      <c r="B103" s="1" t="s">
        <v>223</v>
      </c>
      <c r="C103" s="6" t="s">
        <v>5101</v>
      </c>
      <c r="D103" s="7" t="s">
        <v>224</v>
      </c>
      <c r="E103" s="2" t="s">
        <v>222</v>
      </c>
      <c r="F103" s="99" t="s">
        <v>11</v>
      </c>
      <c r="G103" s="121">
        <v>50</v>
      </c>
      <c r="H103" s="122">
        <f t="shared" si="2"/>
        <v>450</v>
      </c>
      <c r="I103" s="520">
        <f>+(0+175)/4</f>
        <v>43.75</v>
      </c>
      <c r="J103" s="514">
        <f t="shared" si="3"/>
        <v>493.75</v>
      </c>
      <c r="K103" s="262"/>
      <c r="L103" s="267"/>
    </row>
    <row r="104" spans="1:12" ht="20.25" customHeight="1" x14ac:dyDescent="0.2">
      <c r="A104" s="114">
        <v>99</v>
      </c>
      <c r="B104" s="1" t="s">
        <v>225</v>
      </c>
      <c r="C104" s="6" t="s">
        <v>5102</v>
      </c>
      <c r="D104" s="7" t="s">
        <v>226</v>
      </c>
      <c r="E104" s="2" t="s">
        <v>222</v>
      </c>
      <c r="F104" s="99" t="s">
        <v>14</v>
      </c>
      <c r="G104" s="121">
        <v>100</v>
      </c>
      <c r="H104" s="122">
        <f t="shared" si="2"/>
        <v>400</v>
      </c>
      <c r="I104" s="520">
        <f>+(0+175)/4</f>
        <v>43.75</v>
      </c>
      <c r="J104" s="514">
        <f t="shared" si="3"/>
        <v>443.75</v>
      </c>
      <c r="K104" s="262"/>
      <c r="L104" s="267"/>
    </row>
    <row r="105" spans="1:12" ht="20.25" customHeight="1" thickBot="1" x14ac:dyDescent="0.25">
      <c r="A105" s="117">
        <v>100</v>
      </c>
      <c r="B105" s="3" t="s">
        <v>227</v>
      </c>
      <c r="C105" s="8" t="s">
        <v>5103</v>
      </c>
      <c r="D105" s="9" t="s">
        <v>228</v>
      </c>
      <c r="E105" s="4" t="s">
        <v>222</v>
      </c>
      <c r="F105" s="101" t="s">
        <v>17</v>
      </c>
      <c r="G105" s="128">
        <v>50</v>
      </c>
      <c r="H105" s="157">
        <f t="shared" si="2"/>
        <v>450</v>
      </c>
      <c r="I105" s="522">
        <f>+(0+175)/4</f>
        <v>43.75</v>
      </c>
      <c r="J105" s="519">
        <f t="shared" si="3"/>
        <v>493.75</v>
      </c>
      <c r="K105" s="268"/>
      <c r="L105" s="269"/>
    </row>
    <row r="106" spans="1:12" ht="20.25" customHeight="1" x14ac:dyDescent="0.2">
      <c r="A106" s="108">
        <v>101</v>
      </c>
      <c r="B106" s="171" t="s">
        <v>229</v>
      </c>
      <c r="C106" s="110" t="s">
        <v>5104</v>
      </c>
      <c r="D106" s="111" t="s">
        <v>230</v>
      </c>
      <c r="E106" s="112" t="s">
        <v>231</v>
      </c>
      <c r="F106" s="113" t="s">
        <v>8</v>
      </c>
      <c r="G106" s="119">
        <v>50</v>
      </c>
      <c r="H106" s="120">
        <f t="shared" si="2"/>
        <v>450</v>
      </c>
      <c r="I106" s="511">
        <f>+(445+1000)/4</f>
        <v>361.25</v>
      </c>
      <c r="J106" s="512">
        <f t="shared" si="3"/>
        <v>811.25</v>
      </c>
      <c r="K106" s="260"/>
      <c r="L106" s="365"/>
    </row>
    <row r="107" spans="1:12" ht="20.25" customHeight="1" x14ac:dyDescent="0.2">
      <c r="A107" s="114">
        <v>102</v>
      </c>
      <c r="B107" s="1" t="s">
        <v>232</v>
      </c>
      <c r="C107" s="6" t="s">
        <v>5105</v>
      </c>
      <c r="D107" s="7" t="s">
        <v>233</v>
      </c>
      <c r="E107" s="2" t="s">
        <v>231</v>
      </c>
      <c r="F107" s="99" t="s">
        <v>11</v>
      </c>
      <c r="G107" s="121">
        <v>150</v>
      </c>
      <c r="H107" s="122">
        <f t="shared" si="2"/>
        <v>350</v>
      </c>
      <c r="I107" s="520">
        <f>+(445+1000)/4</f>
        <v>361.25</v>
      </c>
      <c r="J107" s="514">
        <f t="shared" si="3"/>
        <v>711.25</v>
      </c>
      <c r="K107" s="262"/>
      <c r="L107" s="267"/>
    </row>
    <row r="108" spans="1:12" ht="20.25" customHeight="1" x14ac:dyDescent="0.2">
      <c r="A108" s="114">
        <v>103</v>
      </c>
      <c r="B108" s="1" t="s">
        <v>234</v>
      </c>
      <c r="C108" s="6" t="s">
        <v>5106</v>
      </c>
      <c r="D108" s="7" t="s">
        <v>235</v>
      </c>
      <c r="E108" s="2" t="s">
        <v>231</v>
      </c>
      <c r="F108" s="99" t="s">
        <v>14</v>
      </c>
      <c r="G108" s="121">
        <v>50</v>
      </c>
      <c r="H108" s="122">
        <f t="shared" si="2"/>
        <v>450</v>
      </c>
      <c r="I108" s="520">
        <f>+(445+1000)/4</f>
        <v>361.25</v>
      </c>
      <c r="J108" s="514">
        <f t="shared" si="3"/>
        <v>811.25</v>
      </c>
      <c r="K108" s="262"/>
      <c r="L108" s="267"/>
    </row>
    <row r="109" spans="1:12" ht="20.25" customHeight="1" thickBot="1" x14ac:dyDescent="0.25">
      <c r="A109" s="158">
        <v>104</v>
      </c>
      <c r="B109" s="159" t="s">
        <v>236</v>
      </c>
      <c r="C109" s="160" t="s">
        <v>5107</v>
      </c>
      <c r="D109" s="161" t="s">
        <v>237</v>
      </c>
      <c r="E109" s="162" t="s">
        <v>231</v>
      </c>
      <c r="F109" s="163" t="s">
        <v>17</v>
      </c>
      <c r="G109" s="164">
        <v>50</v>
      </c>
      <c r="H109" s="153">
        <f t="shared" si="2"/>
        <v>450</v>
      </c>
      <c r="I109" s="521">
        <f>+(445+1000)/4</f>
        <v>361.25</v>
      </c>
      <c r="J109" s="516">
        <f t="shared" si="3"/>
        <v>811.25</v>
      </c>
      <c r="K109" s="277"/>
      <c r="L109" s="364"/>
    </row>
    <row r="110" spans="1:12" ht="20.25" customHeight="1" x14ac:dyDescent="0.2">
      <c r="A110" s="115">
        <v>105</v>
      </c>
      <c r="B110" s="64" t="s">
        <v>238</v>
      </c>
      <c r="C110" s="65" t="s">
        <v>5108</v>
      </c>
      <c r="D110" s="66" t="s">
        <v>239</v>
      </c>
      <c r="E110" s="67" t="s">
        <v>240</v>
      </c>
      <c r="F110" s="98" t="s">
        <v>8</v>
      </c>
      <c r="G110" s="123">
        <v>150</v>
      </c>
      <c r="H110" s="124">
        <f t="shared" si="2"/>
        <v>350</v>
      </c>
      <c r="I110" s="513">
        <f>+(360+330)/4</f>
        <v>172.5</v>
      </c>
      <c r="J110" s="517">
        <f t="shared" si="3"/>
        <v>522.5</v>
      </c>
      <c r="K110" s="264"/>
      <c r="L110" s="363"/>
    </row>
    <row r="111" spans="1:12" ht="20.25" customHeight="1" x14ac:dyDescent="0.2">
      <c r="A111" s="114">
        <v>106</v>
      </c>
      <c r="B111" s="1" t="s">
        <v>241</v>
      </c>
      <c r="C111" s="6" t="s">
        <v>5109</v>
      </c>
      <c r="D111" s="7" t="s">
        <v>242</v>
      </c>
      <c r="E111" s="2" t="s">
        <v>240</v>
      </c>
      <c r="F111" s="99" t="s">
        <v>11</v>
      </c>
      <c r="G111" s="121">
        <v>50</v>
      </c>
      <c r="H111" s="122">
        <f t="shared" si="2"/>
        <v>450</v>
      </c>
      <c r="I111" s="520">
        <f>+(360+330)/4</f>
        <v>172.5</v>
      </c>
      <c r="J111" s="514">
        <f t="shared" si="3"/>
        <v>622.5</v>
      </c>
      <c r="K111" s="262"/>
      <c r="L111" s="267"/>
    </row>
    <row r="112" spans="1:12" ht="20.25" customHeight="1" x14ac:dyDescent="0.2">
      <c r="A112" s="114">
        <v>107</v>
      </c>
      <c r="B112" s="1" t="s">
        <v>243</v>
      </c>
      <c r="C112" s="6" t="s">
        <v>5110</v>
      </c>
      <c r="D112" s="7" t="s">
        <v>244</v>
      </c>
      <c r="E112" s="2" t="s">
        <v>240</v>
      </c>
      <c r="F112" s="99" t="s">
        <v>14</v>
      </c>
      <c r="G112" s="121">
        <v>150</v>
      </c>
      <c r="H112" s="122">
        <f t="shared" si="2"/>
        <v>350</v>
      </c>
      <c r="I112" s="520">
        <f>+(360+330)/4</f>
        <v>172.5</v>
      </c>
      <c r="J112" s="514">
        <f t="shared" si="3"/>
        <v>522.5</v>
      </c>
      <c r="K112" s="262"/>
      <c r="L112" s="267"/>
    </row>
    <row r="113" spans="1:36" ht="20.25" customHeight="1" thickBot="1" x14ac:dyDescent="0.25">
      <c r="A113" s="117">
        <v>108</v>
      </c>
      <c r="B113" s="3" t="s">
        <v>245</v>
      </c>
      <c r="C113" s="8" t="s">
        <v>5111</v>
      </c>
      <c r="D113" s="9" t="s">
        <v>246</v>
      </c>
      <c r="E113" s="4" t="s">
        <v>240</v>
      </c>
      <c r="F113" s="101" t="s">
        <v>17</v>
      </c>
      <c r="G113" s="128">
        <v>150</v>
      </c>
      <c r="H113" s="157">
        <f t="shared" si="2"/>
        <v>350</v>
      </c>
      <c r="I113" s="522">
        <f>+(360+330)/4</f>
        <v>172.5</v>
      </c>
      <c r="J113" s="519">
        <f t="shared" si="3"/>
        <v>522.5</v>
      </c>
      <c r="K113" s="268"/>
      <c r="L113" s="269"/>
    </row>
    <row r="114" spans="1:36" ht="20.25" customHeight="1" x14ac:dyDescent="0.2">
      <c r="A114" s="108">
        <v>109</v>
      </c>
      <c r="B114" s="171" t="s">
        <v>247</v>
      </c>
      <c r="C114" s="110" t="s">
        <v>5112</v>
      </c>
      <c r="D114" s="111" t="s">
        <v>248</v>
      </c>
      <c r="E114" s="112" t="s">
        <v>249</v>
      </c>
      <c r="F114" s="113" t="s">
        <v>8</v>
      </c>
      <c r="G114" s="119">
        <v>50</v>
      </c>
      <c r="H114" s="120">
        <f t="shared" si="2"/>
        <v>450</v>
      </c>
      <c r="I114" s="511">
        <f>+(1015+1565)/4</f>
        <v>645</v>
      </c>
      <c r="J114" s="512">
        <f t="shared" si="3"/>
        <v>1095</v>
      </c>
      <c r="K114" s="260"/>
      <c r="L114" s="365"/>
    </row>
    <row r="115" spans="1:36" ht="20.25" customHeight="1" x14ac:dyDescent="0.2">
      <c r="A115" s="114">
        <v>110</v>
      </c>
      <c r="B115" s="1" t="s">
        <v>250</v>
      </c>
      <c r="C115" s="6" t="s">
        <v>5113</v>
      </c>
      <c r="D115" s="7" t="s">
        <v>251</v>
      </c>
      <c r="E115" s="2" t="s">
        <v>249</v>
      </c>
      <c r="F115" s="99" t="s">
        <v>11</v>
      </c>
      <c r="G115" s="121">
        <v>50</v>
      </c>
      <c r="H115" s="122">
        <f t="shared" si="2"/>
        <v>450</v>
      </c>
      <c r="I115" s="520">
        <f>+(1015+1565)/4</f>
        <v>645</v>
      </c>
      <c r="J115" s="514">
        <f t="shared" si="3"/>
        <v>1095</v>
      </c>
      <c r="K115" s="262"/>
      <c r="L115" s="267"/>
    </row>
    <row r="116" spans="1:36" ht="20.25" customHeight="1" x14ac:dyDescent="0.2">
      <c r="A116" s="114">
        <v>111</v>
      </c>
      <c r="B116" s="1" t="s">
        <v>252</v>
      </c>
      <c r="C116" s="6" t="s">
        <v>5114</v>
      </c>
      <c r="D116" s="7" t="s">
        <v>253</v>
      </c>
      <c r="E116" s="2" t="s">
        <v>249</v>
      </c>
      <c r="F116" s="99" t="s">
        <v>14</v>
      </c>
      <c r="G116" s="121">
        <v>50</v>
      </c>
      <c r="H116" s="122">
        <f t="shared" si="2"/>
        <v>450</v>
      </c>
      <c r="I116" s="520">
        <f>+(1015+1565)/4</f>
        <v>645</v>
      </c>
      <c r="J116" s="514">
        <f t="shared" si="3"/>
        <v>1095</v>
      </c>
      <c r="K116" s="262"/>
      <c r="L116" s="267"/>
    </row>
    <row r="117" spans="1:36" ht="20.25" customHeight="1" thickBot="1" x14ac:dyDescent="0.25">
      <c r="A117" s="158">
        <v>112</v>
      </c>
      <c r="B117" s="159" t="s">
        <v>254</v>
      </c>
      <c r="C117" s="160" t="s">
        <v>5115</v>
      </c>
      <c r="D117" s="161" t="s">
        <v>255</v>
      </c>
      <c r="E117" s="162" t="s">
        <v>249</v>
      </c>
      <c r="F117" s="163" t="s">
        <v>17</v>
      </c>
      <c r="G117" s="164">
        <v>50</v>
      </c>
      <c r="H117" s="153">
        <f t="shared" si="2"/>
        <v>450</v>
      </c>
      <c r="I117" s="521">
        <f>+(1015+1565)/4</f>
        <v>645</v>
      </c>
      <c r="J117" s="516">
        <f t="shared" si="3"/>
        <v>1095</v>
      </c>
      <c r="K117" s="277"/>
      <c r="L117" s="364"/>
    </row>
    <row r="118" spans="1:36" ht="20.25" customHeight="1" x14ac:dyDescent="0.2">
      <c r="A118" s="115">
        <v>113</v>
      </c>
      <c r="B118" s="64" t="s">
        <v>256</v>
      </c>
      <c r="C118" s="65" t="s">
        <v>5116</v>
      </c>
      <c r="D118" s="66" t="s">
        <v>257</v>
      </c>
      <c r="E118" s="67" t="s">
        <v>258</v>
      </c>
      <c r="F118" s="98" t="s">
        <v>8</v>
      </c>
      <c r="G118" s="123">
        <v>50</v>
      </c>
      <c r="H118" s="124">
        <f t="shared" si="2"/>
        <v>450</v>
      </c>
      <c r="I118" s="513">
        <f>+(0+0)/4</f>
        <v>0</v>
      </c>
      <c r="J118" s="517">
        <f t="shared" si="3"/>
        <v>450</v>
      </c>
      <c r="K118" s="264"/>
      <c r="L118" s="363"/>
    </row>
    <row r="119" spans="1:36" ht="20.25" customHeight="1" x14ac:dyDescent="0.2">
      <c r="A119" s="114">
        <v>114</v>
      </c>
      <c r="B119" s="1" t="s">
        <v>259</v>
      </c>
      <c r="C119" s="6" t="s">
        <v>5117</v>
      </c>
      <c r="D119" s="7" t="s">
        <v>260</v>
      </c>
      <c r="E119" s="2" t="s">
        <v>258</v>
      </c>
      <c r="F119" s="99" t="s">
        <v>11</v>
      </c>
      <c r="G119" s="121">
        <v>50</v>
      </c>
      <c r="H119" s="122">
        <f t="shared" si="2"/>
        <v>450</v>
      </c>
      <c r="I119" s="520">
        <f>+(0+0)/4</f>
        <v>0</v>
      </c>
      <c r="J119" s="514">
        <f t="shared" si="3"/>
        <v>450</v>
      </c>
      <c r="K119" s="262"/>
      <c r="L119" s="267"/>
    </row>
    <row r="120" spans="1:36" s="37" customFormat="1" ht="20.25" customHeight="1" x14ac:dyDescent="0.2">
      <c r="A120" s="116">
        <v>115</v>
      </c>
      <c r="B120" s="46" t="s">
        <v>261</v>
      </c>
      <c r="C120" s="29" t="s">
        <v>5118</v>
      </c>
      <c r="D120" s="28" t="s">
        <v>262</v>
      </c>
      <c r="E120" s="30" t="s">
        <v>258</v>
      </c>
      <c r="F120" s="73" t="s">
        <v>14</v>
      </c>
      <c r="G120" s="126">
        <v>100</v>
      </c>
      <c r="H120" s="127">
        <f t="shared" si="2"/>
        <v>400</v>
      </c>
      <c r="I120" s="523">
        <f>+(0+0)/4</f>
        <v>0</v>
      </c>
      <c r="J120" s="524">
        <f t="shared" si="3"/>
        <v>400</v>
      </c>
      <c r="K120" s="266" t="s">
        <v>4996</v>
      </c>
      <c r="L120" s="267">
        <v>2500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</row>
    <row r="121" spans="1:36" ht="20.25" customHeight="1" thickBot="1" x14ac:dyDescent="0.25">
      <c r="A121" s="117">
        <v>116</v>
      </c>
      <c r="B121" s="3" t="s">
        <v>263</v>
      </c>
      <c r="C121" s="8" t="s">
        <v>5119</v>
      </c>
      <c r="D121" s="9" t="s">
        <v>264</v>
      </c>
      <c r="E121" s="4" t="s">
        <v>258</v>
      </c>
      <c r="F121" s="101" t="s">
        <v>17</v>
      </c>
      <c r="G121" s="128">
        <v>100</v>
      </c>
      <c r="H121" s="157">
        <f t="shared" si="2"/>
        <v>400</v>
      </c>
      <c r="I121" s="522">
        <f>+(0+0)/4</f>
        <v>0</v>
      </c>
      <c r="J121" s="519">
        <f t="shared" si="3"/>
        <v>400</v>
      </c>
      <c r="K121" s="268"/>
      <c r="L121" s="269"/>
    </row>
    <row r="122" spans="1:36" ht="20.25" customHeight="1" x14ac:dyDescent="0.2">
      <c r="A122" s="108">
        <v>117</v>
      </c>
      <c r="B122" s="171" t="s">
        <v>265</v>
      </c>
      <c r="C122" s="110" t="s">
        <v>5087</v>
      </c>
      <c r="D122" s="111" t="s">
        <v>266</v>
      </c>
      <c r="E122" s="112" t="s">
        <v>267</v>
      </c>
      <c r="F122" s="113" t="s">
        <v>8</v>
      </c>
      <c r="G122" s="119">
        <v>50</v>
      </c>
      <c r="H122" s="120">
        <f t="shared" si="2"/>
        <v>450</v>
      </c>
      <c r="I122" s="511">
        <f>+(0+630)/4</f>
        <v>157.5</v>
      </c>
      <c r="J122" s="512">
        <f t="shared" si="3"/>
        <v>607.5</v>
      </c>
      <c r="K122" s="260"/>
      <c r="L122" s="365"/>
    </row>
    <row r="123" spans="1:36" ht="20.25" customHeight="1" x14ac:dyDescent="0.2">
      <c r="A123" s="114">
        <v>118</v>
      </c>
      <c r="B123" s="1" t="s">
        <v>268</v>
      </c>
      <c r="C123" s="6" t="s">
        <v>5065</v>
      </c>
      <c r="D123" s="7" t="s">
        <v>269</v>
      </c>
      <c r="E123" s="2" t="s">
        <v>267</v>
      </c>
      <c r="F123" s="99" t="s">
        <v>11</v>
      </c>
      <c r="G123" s="121">
        <v>50</v>
      </c>
      <c r="H123" s="122">
        <f t="shared" si="2"/>
        <v>450</v>
      </c>
      <c r="I123" s="520">
        <f>+(0+630)/4</f>
        <v>157.5</v>
      </c>
      <c r="J123" s="514">
        <f t="shared" si="3"/>
        <v>607.5</v>
      </c>
      <c r="K123" s="262"/>
      <c r="L123" s="267"/>
    </row>
    <row r="124" spans="1:36" ht="20.25" customHeight="1" x14ac:dyDescent="0.2">
      <c r="A124" s="114">
        <v>119</v>
      </c>
      <c r="B124" s="1" t="s">
        <v>270</v>
      </c>
      <c r="C124" s="6" t="s">
        <v>5120</v>
      </c>
      <c r="D124" s="7" t="s">
        <v>271</v>
      </c>
      <c r="E124" s="2" t="s">
        <v>267</v>
      </c>
      <c r="F124" s="99" t="s">
        <v>14</v>
      </c>
      <c r="G124" s="121">
        <v>50</v>
      </c>
      <c r="H124" s="122">
        <f t="shared" si="2"/>
        <v>450</v>
      </c>
      <c r="I124" s="520">
        <f>+(0+630)/4</f>
        <v>157.5</v>
      </c>
      <c r="J124" s="514">
        <f t="shared" si="3"/>
        <v>607.5</v>
      </c>
      <c r="K124" s="262"/>
      <c r="L124" s="267"/>
    </row>
    <row r="125" spans="1:36" ht="20.25" customHeight="1" thickBot="1" x14ac:dyDescent="0.25">
      <c r="A125" s="158">
        <v>120</v>
      </c>
      <c r="B125" s="159" t="s">
        <v>272</v>
      </c>
      <c r="C125" s="160" t="s">
        <v>5121</v>
      </c>
      <c r="D125" s="161" t="s">
        <v>273</v>
      </c>
      <c r="E125" s="162" t="s">
        <v>267</v>
      </c>
      <c r="F125" s="163" t="s">
        <v>17</v>
      </c>
      <c r="G125" s="164">
        <v>50</v>
      </c>
      <c r="H125" s="153">
        <f t="shared" si="2"/>
        <v>450</v>
      </c>
      <c r="I125" s="521">
        <f>+(0+630)/4</f>
        <v>157.5</v>
      </c>
      <c r="J125" s="516">
        <f t="shared" si="3"/>
        <v>607.5</v>
      </c>
      <c r="K125" s="277"/>
      <c r="L125" s="364"/>
    </row>
    <row r="126" spans="1:36" ht="20.25" customHeight="1" x14ac:dyDescent="0.2">
      <c r="A126" s="115">
        <v>121</v>
      </c>
      <c r="B126" s="64" t="s">
        <v>274</v>
      </c>
      <c r="C126" s="65" t="s">
        <v>5122</v>
      </c>
      <c r="D126" s="66" t="s">
        <v>275</v>
      </c>
      <c r="E126" s="67" t="s">
        <v>276</v>
      </c>
      <c r="F126" s="98" t="s">
        <v>8</v>
      </c>
      <c r="G126" s="123">
        <v>50</v>
      </c>
      <c r="H126" s="124">
        <f t="shared" si="2"/>
        <v>450</v>
      </c>
      <c r="I126" s="513">
        <f>+(725+750)/4</f>
        <v>368.75</v>
      </c>
      <c r="J126" s="517">
        <f t="shared" si="3"/>
        <v>818.75</v>
      </c>
      <c r="K126" s="264"/>
      <c r="L126" s="363"/>
    </row>
    <row r="127" spans="1:36" ht="20.25" customHeight="1" x14ac:dyDescent="0.2">
      <c r="A127" s="114">
        <v>122</v>
      </c>
      <c r="B127" s="1" t="s">
        <v>277</v>
      </c>
      <c r="C127" s="6" t="s">
        <v>5123</v>
      </c>
      <c r="D127" s="7" t="s">
        <v>278</v>
      </c>
      <c r="E127" s="2" t="s">
        <v>276</v>
      </c>
      <c r="F127" s="99" t="s">
        <v>11</v>
      </c>
      <c r="G127" s="121">
        <v>50</v>
      </c>
      <c r="H127" s="122">
        <f t="shared" si="2"/>
        <v>450</v>
      </c>
      <c r="I127" s="520">
        <f>+(725+750)/4</f>
        <v>368.75</v>
      </c>
      <c r="J127" s="514">
        <f t="shared" si="3"/>
        <v>818.75</v>
      </c>
      <c r="K127" s="262"/>
      <c r="L127" s="267"/>
    </row>
    <row r="128" spans="1:36" ht="20.25" customHeight="1" x14ac:dyDescent="0.2">
      <c r="A128" s="114">
        <v>123</v>
      </c>
      <c r="B128" s="1" t="s">
        <v>279</v>
      </c>
      <c r="C128" s="6" t="s">
        <v>5124</v>
      </c>
      <c r="D128" s="7" t="s">
        <v>280</v>
      </c>
      <c r="E128" s="2" t="s">
        <v>276</v>
      </c>
      <c r="F128" s="99" t="s">
        <v>14</v>
      </c>
      <c r="G128" s="121">
        <v>50</v>
      </c>
      <c r="H128" s="122">
        <f t="shared" si="2"/>
        <v>450</v>
      </c>
      <c r="I128" s="520">
        <f>+(725+750)/4</f>
        <v>368.75</v>
      </c>
      <c r="J128" s="514">
        <f t="shared" si="3"/>
        <v>818.75</v>
      </c>
      <c r="K128" s="262"/>
      <c r="L128" s="267"/>
    </row>
    <row r="129" spans="1:12" ht="20.25" customHeight="1" thickBot="1" x14ac:dyDescent="0.25">
      <c r="A129" s="117">
        <v>124</v>
      </c>
      <c r="B129" s="3" t="s">
        <v>281</v>
      </c>
      <c r="C129" s="8" t="s">
        <v>5125</v>
      </c>
      <c r="D129" s="9" t="s">
        <v>282</v>
      </c>
      <c r="E129" s="4" t="s">
        <v>276</v>
      </c>
      <c r="F129" s="101" t="s">
        <v>17</v>
      </c>
      <c r="G129" s="128">
        <v>50</v>
      </c>
      <c r="H129" s="157">
        <f t="shared" si="2"/>
        <v>450</v>
      </c>
      <c r="I129" s="522">
        <f>+(725+750)/4</f>
        <v>368.75</v>
      </c>
      <c r="J129" s="519">
        <f t="shared" si="3"/>
        <v>818.75</v>
      </c>
      <c r="K129" s="268"/>
      <c r="L129" s="269"/>
    </row>
    <row r="130" spans="1:12" ht="20.25" customHeight="1" x14ac:dyDescent="0.2">
      <c r="A130" s="108">
        <v>125</v>
      </c>
      <c r="B130" s="171" t="s">
        <v>283</v>
      </c>
      <c r="C130" s="110" t="s">
        <v>5126</v>
      </c>
      <c r="D130" s="111" t="s">
        <v>284</v>
      </c>
      <c r="E130" s="112" t="s">
        <v>285</v>
      </c>
      <c r="F130" s="113" t="s">
        <v>8</v>
      </c>
      <c r="G130" s="119">
        <v>50</v>
      </c>
      <c r="H130" s="120">
        <f t="shared" si="2"/>
        <v>450</v>
      </c>
      <c r="I130" s="511">
        <f>+(550+1560)/4</f>
        <v>527.5</v>
      </c>
      <c r="J130" s="512">
        <f t="shared" si="3"/>
        <v>977.5</v>
      </c>
      <c r="K130" s="260"/>
      <c r="L130" s="365"/>
    </row>
    <row r="131" spans="1:12" ht="20.25" customHeight="1" x14ac:dyDescent="0.2">
      <c r="A131" s="114">
        <v>126</v>
      </c>
      <c r="B131" s="1" t="s">
        <v>286</v>
      </c>
      <c r="C131" s="6" t="s">
        <v>5127</v>
      </c>
      <c r="D131" s="7" t="s">
        <v>287</v>
      </c>
      <c r="E131" s="2" t="s">
        <v>285</v>
      </c>
      <c r="F131" s="99" t="s">
        <v>11</v>
      </c>
      <c r="G131" s="121">
        <v>50</v>
      </c>
      <c r="H131" s="122">
        <f t="shared" si="2"/>
        <v>450</v>
      </c>
      <c r="I131" s="520">
        <f>+(550+1560)/4</f>
        <v>527.5</v>
      </c>
      <c r="J131" s="514">
        <f t="shared" si="3"/>
        <v>977.5</v>
      </c>
      <c r="K131" s="262"/>
      <c r="L131" s="267"/>
    </row>
    <row r="132" spans="1:12" ht="20.25" customHeight="1" x14ac:dyDescent="0.2">
      <c r="A132" s="114">
        <v>127</v>
      </c>
      <c r="B132" s="1" t="s">
        <v>288</v>
      </c>
      <c r="C132" s="6" t="s">
        <v>5128</v>
      </c>
      <c r="D132" s="7" t="s">
        <v>289</v>
      </c>
      <c r="E132" s="2" t="s">
        <v>285</v>
      </c>
      <c r="F132" s="99" t="s">
        <v>14</v>
      </c>
      <c r="G132" s="121">
        <v>100</v>
      </c>
      <c r="H132" s="122">
        <f t="shared" si="2"/>
        <v>400</v>
      </c>
      <c r="I132" s="520">
        <f>+(550+1560)/4</f>
        <v>527.5</v>
      </c>
      <c r="J132" s="514">
        <f t="shared" si="3"/>
        <v>927.5</v>
      </c>
      <c r="K132" s="262"/>
      <c r="L132" s="267"/>
    </row>
    <row r="133" spans="1:12" ht="20.25" customHeight="1" thickBot="1" x14ac:dyDescent="0.25">
      <c r="A133" s="158">
        <v>128</v>
      </c>
      <c r="B133" s="159" t="s">
        <v>290</v>
      </c>
      <c r="C133" s="160" t="s">
        <v>5129</v>
      </c>
      <c r="D133" s="161" t="s">
        <v>291</v>
      </c>
      <c r="E133" s="162" t="s">
        <v>285</v>
      </c>
      <c r="F133" s="163" t="s">
        <v>17</v>
      </c>
      <c r="G133" s="164">
        <v>50</v>
      </c>
      <c r="H133" s="153">
        <f t="shared" si="2"/>
        <v>450</v>
      </c>
      <c r="I133" s="521">
        <f>+(550+1560)/4</f>
        <v>527.5</v>
      </c>
      <c r="J133" s="516">
        <f t="shared" si="3"/>
        <v>977.5</v>
      </c>
      <c r="K133" s="277"/>
      <c r="L133" s="364"/>
    </row>
    <row r="134" spans="1:12" ht="20.25" customHeight="1" x14ac:dyDescent="0.3">
      <c r="A134" s="367">
        <v>129</v>
      </c>
      <c r="B134" s="368" t="s">
        <v>5005</v>
      </c>
      <c r="C134" s="369" t="s">
        <v>5130</v>
      </c>
      <c r="D134" s="370" t="s">
        <v>1381</v>
      </c>
      <c r="E134" s="12">
        <v>1234</v>
      </c>
      <c r="F134" s="371">
        <v>1</v>
      </c>
      <c r="G134" s="372">
        <v>150</v>
      </c>
      <c r="H134" s="124">
        <f t="shared" si="2"/>
        <v>350</v>
      </c>
      <c r="I134" s="513">
        <f>+(395+1240)/4</f>
        <v>408.75</v>
      </c>
      <c r="J134" s="517">
        <f t="shared" si="3"/>
        <v>758.75</v>
      </c>
      <c r="K134" s="264"/>
      <c r="L134" s="363"/>
    </row>
    <row r="135" spans="1:12" ht="20.25" customHeight="1" x14ac:dyDescent="0.2">
      <c r="A135" s="114">
        <v>130</v>
      </c>
      <c r="B135" s="1" t="s">
        <v>292</v>
      </c>
      <c r="C135" s="6" t="s">
        <v>5131</v>
      </c>
      <c r="D135" s="7" t="s">
        <v>293</v>
      </c>
      <c r="E135" s="2" t="s">
        <v>294</v>
      </c>
      <c r="F135" s="99" t="s">
        <v>11</v>
      </c>
      <c r="G135" s="121">
        <v>50</v>
      </c>
      <c r="H135" s="122">
        <f t="shared" ref="H135:H198" si="4">500-G135</f>
        <v>450</v>
      </c>
      <c r="I135" s="520">
        <f>+(395+1240)/4</f>
        <v>408.75</v>
      </c>
      <c r="J135" s="514">
        <f t="shared" si="3"/>
        <v>858.75</v>
      </c>
      <c r="K135" s="262"/>
      <c r="L135" s="267"/>
    </row>
    <row r="136" spans="1:12" ht="20.25" customHeight="1" x14ac:dyDescent="0.2">
      <c r="A136" s="114">
        <v>131</v>
      </c>
      <c r="B136" s="1" t="s">
        <v>295</v>
      </c>
      <c r="C136" s="6" t="s">
        <v>5132</v>
      </c>
      <c r="D136" s="7" t="s">
        <v>296</v>
      </c>
      <c r="E136" s="2" t="s">
        <v>294</v>
      </c>
      <c r="F136" s="99" t="s">
        <v>14</v>
      </c>
      <c r="G136" s="121">
        <v>50</v>
      </c>
      <c r="H136" s="122">
        <f t="shared" si="4"/>
        <v>450</v>
      </c>
      <c r="I136" s="520">
        <f>+(395+1240)/4</f>
        <v>408.75</v>
      </c>
      <c r="J136" s="514">
        <f t="shared" ref="J136:J199" si="5">SUM(H136:I136)</f>
        <v>858.75</v>
      </c>
      <c r="K136" s="262"/>
      <c r="L136" s="267"/>
    </row>
    <row r="137" spans="1:12" ht="20.25" customHeight="1" thickBot="1" x14ac:dyDescent="0.25">
      <c r="A137" s="117">
        <v>132</v>
      </c>
      <c r="B137" s="3" t="s">
        <v>297</v>
      </c>
      <c r="C137" s="8" t="s">
        <v>5133</v>
      </c>
      <c r="D137" s="9" t="s">
        <v>298</v>
      </c>
      <c r="E137" s="4" t="s">
        <v>294</v>
      </c>
      <c r="F137" s="101" t="s">
        <v>17</v>
      </c>
      <c r="G137" s="128">
        <v>50</v>
      </c>
      <c r="H137" s="157">
        <f t="shared" si="4"/>
        <v>450</v>
      </c>
      <c r="I137" s="522">
        <f>+(395+1240)/4</f>
        <v>408.75</v>
      </c>
      <c r="J137" s="519">
        <f t="shared" si="5"/>
        <v>858.75</v>
      </c>
      <c r="K137" s="268"/>
      <c r="L137" s="269"/>
    </row>
    <row r="138" spans="1:12" ht="20.25" customHeight="1" x14ac:dyDescent="0.2">
      <c r="A138" s="108">
        <v>133</v>
      </c>
      <c r="B138" s="171" t="s">
        <v>299</v>
      </c>
      <c r="C138" s="110" t="s">
        <v>5134</v>
      </c>
      <c r="D138" s="111" t="s">
        <v>300</v>
      </c>
      <c r="E138" s="112" t="s">
        <v>301</v>
      </c>
      <c r="F138" s="113" t="s">
        <v>8</v>
      </c>
      <c r="G138" s="119">
        <v>100</v>
      </c>
      <c r="H138" s="120">
        <f t="shared" si="4"/>
        <v>400</v>
      </c>
      <c r="I138" s="511">
        <f>+(40+970)/4</f>
        <v>252.5</v>
      </c>
      <c r="J138" s="512">
        <f t="shared" si="5"/>
        <v>652.5</v>
      </c>
      <c r="K138" s="260"/>
      <c r="L138" s="365"/>
    </row>
    <row r="139" spans="1:12" ht="20.25" customHeight="1" x14ac:dyDescent="0.2">
      <c r="A139" s="114">
        <v>134</v>
      </c>
      <c r="B139" s="1" t="s">
        <v>302</v>
      </c>
      <c r="C139" s="6" t="s">
        <v>5135</v>
      </c>
      <c r="D139" s="7" t="s">
        <v>303</v>
      </c>
      <c r="E139" s="2" t="s">
        <v>301</v>
      </c>
      <c r="F139" s="99" t="s">
        <v>11</v>
      </c>
      <c r="G139" s="121">
        <v>150</v>
      </c>
      <c r="H139" s="122">
        <f t="shared" si="4"/>
        <v>350</v>
      </c>
      <c r="I139" s="520">
        <f>+(40+970)/4</f>
        <v>252.5</v>
      </c>
      <c r="J139" s="514">
        <f t="shared" si="5"/>
        <v>602.5</v>
      </c>
      <c r="K139" s="262"/>
      <c r="L139" s="267"/>
    </row>
    <row r="140" spans="1:12" ht="20.25" customHeight="1" x14ac:dyDescent="0.2">
      <c r="A140" s="114">
        <v>135</v>
      </c>
      <c r="B140" s="1" t="s">
        <v>304</v>
      </c>
      <c r="C140" s="6" t="s">
        <v>5136</v>
      </c>
      <c r="D140" s="7" t="s">
        <v>305</v>
      </c>
      <c r="E140" s="2" t="s">
        <v>301</v>
      </c>
      <c r="F140" s="99" t="s">
        <v>14</v>
      </c>
      <c r="G140" s="121">
        <v>50</v>
      </c>
      <c r="H140" s="122">
        <f t="shared" si="4"/>
        <v>450</v>
      </c>
      <c r="I140" s="520">
        <f>+(40+970)/4</f>
        <v>252.5</v>
      </c>
      <c r="J140" s="514">
        <f t="shared" si="5"/>
        <v>702.5</v>
      </c>
      <c r="K140" s="262"/>
      <c r="L140" s="267"/>
    </row>
    <row r="141" spans="1:12" ht="20.25" customHeight="1" thickBot="1" x14ac:dyDescent="0.25">
      <c r="A141" s="158">
        <v>136</v>
      </c>
      <c r="B141" s="159" t="s">
        <v>306</v>
      </c>
      <c r="C141" s="160" t="s">
        <v>5137</v>
      </c>
      <c r="D141" s="161" t="s">
        <v>307</v>
      </c>
      <c r="E141" s="162" t="s">
        <v>301</v>
      </c>
      <c r="F141" s="163" t="s">
        <v>17</v>
      </c>
      <c r="G141" s="164">
        <v>50</v>
      </c>
      <c r="H141" s="153">
        <f t="shared" si="4"/>
        <v>450</v>
      </c>
      <c r="I141" s="521">
        <f>+(40+970)/4</f>
        <v>252.5</v>
      </c>
      <c r="J141" s="516">
        <f t="shared" si="5"/>
        <v>702.5</v>
      </c>
      <c r="K141" s="277"/>
      <c r="L141" s="364"/>
    </row>
    <row r="142" spans="1:12" ht="20.25" customHeight="1" x14ac:dyDescent="0.2">
      <c r="A142" s="115">
        <v>137</v>
      </c>
      <c r="B142" s="64" t="s">
        <v>308</v>
      </c>
      <c r="C142" s="65" t="s">
        <v>5138</v>
      </c>
      <c r="D142" s="66" t="s">
        <v>309</v>
      </c>
      <c r="E142" s="67" t="s">
        <v>310</v>
      </c>
      <c r="F142" s="98" t="s">
        <v>8</v>
      </c>
      <c r="G142" s="123">
        <v>50</v>
      </c>
      <c r="H142" s="124">
        <f t="shared" si="4"/>
        <v>450</v>
      </c>
      <c r="I142" s="513">
        <f>+(970+540)/4</f>
        <v>377.5</v>
      </c>
      <c r="J142" s="517">
        <f t="shared" si="5"/>
        <v>827.5</v>
      </c>
      <c r="K142" s="264"/>
      <c r="L142" s="363"/>
    </row>
    <row r="143" spans="1:12" ht="20.25" customHeight="1" x14ac:dyDescent="0.2">
      <c r="A143" s="114">
        <v>138</v>
      </c>
      <c r="B143" s="1" t="s">
        <v>311</v>
      </c>
      <c r="C143" s="6" t="s">
        <v>5139</v>
      </c>
      <c r="D143" s="7" t="s">
        <v>312</v>
      </c>
      <c r="E143" s="2" t="s">
        <v>310</v>
      </c>
      <c r="F143" s="99" t="s">
        <v>11</v>
      </c>
      <c r="G143" s="121">
        <v>100</v>
      </c>
      <c r="H143" s="122">
        <f t="shared" si="4"/>
        <v>400</v>
      </c>
      <c r="I143" s="520">
        <f>+(970+540)/4</f>
        <v>377.5</v>
      </c>
      <c r="J143" s="514">
        <f t="shared" si="5"/>
        <v>777.5</v>
      </c>
      <c r="K143" s="262"/>
      <c r="L143" s="267"/>
    </row>
    <row r="144" spans="1:12" ht="20.25" customHeight="1" x14ac:dyDescent="0.2">
      <c r="A144" s="114">
        <v>139</v>
      </c>
      <c r="B144" s="1" t="s">
        <v>313</v>
      </c>
      <c r="C144" s="6" t="s">
        <v>5140</v>
      </c>
      <c r="D144" s="7" t="s">
        <v>314</v>
      </c>
      <c r="E144" s="2" t="s">
        <v>310</v>
      </c>
      <c r="F144" s="99" t="s">
        <v>14</v>
      </c>
      <c r="G144" s="121">
        <v>150</v>
      </c>
      <c r="H144" s="122">
        <f t="shared" si="4"/>
        <v>350</v>
      </c>
      <c r="I144" s="520">
        <f>+(970+540)/4</f>
        <v>377.5</v>
      </c>
      <c r="J144" s="514">
        <f t="shared" si="5"/>
        <v>727.5</v>
      </c>
      <c r="K144" s="262"/>
      <c r="L144" s="267"/>
    </row>
    <row r="145" spans="1:36" ht="20.25" customHeight="1" thickBot="1" x14ac:dyDescent="0.25">
      <c r="A145" s="117">
        <v>140</v>
      </c>
      <c r="B145" s="3" t="s">
        <v>315</v>
      </c>
      <c r="C145" s="8" t="s">
        <v>5141</v>
      </c>
      <c r="D145" s="9" t="s">
        <v>316</v>
      </c>
      <c r="E145" s="4" t="s">
        <v>310</v>
      </c>
      <c r="F145" s="101" t="s">
        <v>17</v>
      </c>
      <c r="G145" s="128">
        <v>50</v>
      </c>
      <c r="H145" s="157">
        <f t="shared" si="4"/>
        <v>450</v>
      </c>
      <c r="I145" s="522">
        <f>+(970+540)/4</f>
        <v>377.5</v>
      </c>
      <c r="J145" s="519">
        <f t="shared" si="5"/>
        <v>827.5</v>
      </c>
      <c r="K145" s="268"/>
      <c r="L145" s="269"/>
    </row>
    <row r="146" spans="1:36" ht="20.25" customHeight="1" x14ac:dyDescent="0.2">
      <c r="A146" s="108">
        <v>141</v>
      </c>
      <c r="B146" s="171" t="s">
        <v>317</v>
      </c>
      <c r="C146" s="110" t="s">
        <v>5142</v>
      </c>
      <c r="D146" s="111" t="s">
        <v>318</v>
      </c>
      <c r="E146" s="112" t="s">
        <v>319</v>
      </c>
      <c r="F146" s="113" t="s">
        <v>8</v>
      </c>
      <c r="G146" s="119">
        <v>100</v>
      </c>
      <c r="H146" s="120">
        <f t="shared" si="4"/>
        <v>400</v>
      </c>
      <c r="I146" s="511">
        <f>+(435+495)/4</f>
        <v>232.5</v>
      </c>
      <c r="J146" s="512">
        <f t="shared" si="5"/>
        <v>632.5</v>
      </c>
      <c r="K146" s="260"/>
      <c r="L146" s="365"/>
    </row>
    <row r="147" spans="1:36" ht="20.25" customHeight="1" x14ac:dyDescent="0.2">
      <c r="A147" s="114">
        <v>142</v>
      </c>
      <c r="B147" s="1" t="s">
        <v>320</v>
      </c>
      <c r="C147" s="6" t="s">
        <v>5143</v>
      </c>
      <c r="D147" s="7" t="s">
        <v>321</v>
      </c>
      <c r="E147" s="2" t="s">
        <v>319</v>
      </c>
      <c r="F147" s="99" t="s">
        <v>11</v>
      </c>
      <c r="G147" s="121">
        <v>50</v>
      </c>
      <c r="H147" s="122">
        <f t="shared" si="4"/>
        <v>450</v>
      </c>
      <c r="I147" s="520">
        <f>+(435+495)/4</f>
        <v>232.5</v>
      </c>
      <c r="J147" s="514">
        <f t="shared" si="5"/>
        <v>682.5</v>
      </c>
      <c r="K147" s="262"/>
      <c r="L147" s="267"/>
    </row>
    <row r="148" spans="1:36" ht="20.25" customHeight="1" x14ac:dyDescent="0.2">
      <c r="A148" s="114">
        <v>143</v>
      </c>
      <c r="B148" s="1" t="s">
        <v>322</v>
      </c>
      <c r="C148" s="6" t="s">
        <v>5144</v>
      </c>
      <c r="D148" s="7" t="s">
        <v>323</v>
      </c>
      <c r="E148" s="2" t="s">
        <v>319</v>
      </c>
      <c r="F148" s="99" t="s">
        <v>14</v>
      </c>
      <c r="G148" s="121">
        <v>100</v>
      </c>
      <c r="H148" s="122">
        <f t="shared" si="4"/>
        <v>400</v>
      </c>
      <c r="I148" s="520">
        <f>+(435+495)/4</f>
        <v>232.5</v>
      </c>
      <c r="J148" s="514">
        <f t="shared" si="5"/>
        <v>632.5</v>
      </c>
      <c r="K148" s="262"/>
      <c r="L148" s="267"/>
    </row>
    <row r="149" spans="1:36" ht="20.25" customHeight="1" thickBot="1" x14ac:dyDescent="0.25">
      <c r="A149" s="158">
        <v>144</v>
      </c>
      <c r="B149" s="159" t="s">
        <v>324</v>
      </c>
      <c r="C149" s="160" t="s">
        <v>5145</v>
      </c>
      <c r="D149" s="161" t="s">
        <v>325</v>
      </c>
      <c r="E149" s="162" t="s">
        <v>319</v>
      </c>
      <c r="F149" s="163" t="s">
        <v>17</v>
      </c>
      <c r="G149" s="164">
        <v>100</v>
      </c>
      <c r="H149" s="153">
        <f t="shared" si="4"/>
        <v>400</v>
      </c>
      <c r="I149" s="521">
        <f>+(435+495)/4</f>
        <v>232.5</v>
      </c>
      <c r="J149" s="516">
        <f t="shared" si="5"/>
        <v>632.5</v>
      </c>
      <c r="K149" s="277"/>
      <c r="L149" s="364"/>
    </row>
    <row r="150" spans="1:36" ht="20.25" customHeight="1" x14ac:dyDescent="0.2">
      <c r="A150" s="115">
        <v>145</v>
      </c>
      <c r="B150" s="64" t="s">
        <v>326</v>
      </c>
      <c r="C150" s="65" t="s">
        <v>5146</v>
      </c>
      <c r="D150" s="66" t="s">
        <v>327</v>
      </c>
      <c r="E150" s="67" t="s">
        <v>328</v>
      </c>
      <c r="F150" s="98" t="s">
        <v>8</v>
      </c>
      <c r="G150" s="123">
        <v>50</v>
      </c>
      <c r="H150" s="124">
        <f t="shared" si="4"/>
        <v>450</v>
      </c>
      <c r="I150" s="513">
        <f>+(670+1245)/4</f>
        <v>478.75</v>
      </c>
      <c r="J150" s="517">
        <f t="shared" si="5"/>
        <v>928.75</v>
      </c>
      <c r="K150" s="264"/>
      <c r="L150" s="363"/>
    </row>
    <row r="151" spans="1:36" ht="20.25" customHeight="1" x14ac:dyDescent="0.2">
      <c r="A151" s="114">
        <v>146</v>
      </c>
      <c r="B151" s="1" t="s">
        <v>329</v>
      </c>
      <c r="C151" s="6" t="s">
        <v>5147</v>
      </c>
      <c r="D151" s="7" t="s">
        <v>330</v>
      </c>
      <c r="E151" s="2" t="s">
        <v>328</v>
      </c>
      <c r="F151" s="99" t="s">
        <v>11</v>
      </c>
      <c r="G151" s="121">
        <v>50</v>
      </c>
      <c r="H151" s="122">
        <f t="shared" si="4"/>
        <v>450</v>
      </c>
      <c r="I151" s="520">
        <f>+(670+1245)/4</f>
        <v>478.75</v>
      </c>
      <c r="J151" s="514">
        <f t="shared" si="5"/>
        <v>928.75</v>
      </c>
      <c r="K151" s="262"/>
      <c r="L151" s="267"/>
    </row>
    <row r="152" spans="1:36" ht="20.25" customHeight="1" x14ac:dyDescent="0.2">
      <c r="A152" s="114">
        <v>147</v>
      </c>
      <c r="B152" s="1" t="s">
        <v>331</v>
      </c>
      <c r="C152" s="6" t="s">
        <v>5122</v>
      </c>
      <c r="D152" s="7" t="s">
        <v>332</v>
      </c>
      <c r="E152" s="2" t="s">
        <v>328</v>
      </c>
      <c r="F152" s="99" t="s">
        <v>14</v>
      </c>
      <c r="G152" s="121">
        <v>50</v>
      </c>
      <c r="H152" s="122">
        <f t="shared" si="4"/>
        <v>450</v>
      </c>
      <c r="I152" s="520">
        <f>+(670+1245)/4</f>
        <v>478.75</v>
      </c>
      <c r="J152" s="514">
        <f t="shared" si="5"/>
        <v>928.75</v>
      </c>
      <c r="K152" s="262"/>
      <c r="L152" s="267"/>
    </row>
    <row r="153" spans="1:36" ht="20.25" customHeight="1" thickBot="1" x14ac:dyDescent="0.25">
      <c r="A153" s="117">
        <v>148</v>
      </c>
      <c r="B153" s="3" t="s">
        <v>333</v>
      </c>
      <c r="C153" s="8" t="s">
        <v>5035</v>
      </c>
      <c r="D153" s="9" t="s">
        <v>334</v>
      </c>
      <c r="E153" s="4" t="s">
        <v>328</v>
      </c>
      <c r="F153" s="101" t="s">
        <v>17</v>
      </c>
      <c r="G153" s="128">
        <v>50</v>
      </c>
      <c r="H153" s="157">
        <f t="shared" si="4"/>
        <v>450</v>
      </c>
      <c r="I153" s="522">
        <f>+(670+1245)/4</f>
        <v>478.75</v>
      </c>
      <c r="J153" s="519">
        <f t="shared" si="5"/>
        <v>928.75</v>
      </c>
      <c r="K153" s="268"/>
      <c r="L153" s="269"/>
    </row>
    <row r="154" spans="1:36" s="37" customFormat="1" ht="20.25" customHeight="1" x14ac:dyDescent="0.2">
      <c r="A154" s="165">
        <v>149</v>
      </c>
      <c r="B154" s="166" t="s">
        <v>335</v>
      </c>
      <c r="C154" s="241" t="s">
        <v>5148</v>
      </c>
      <c r="D154" s="168" t="s">
        <v>336</v>
      </c>
      <c r="E154" s="169" t="s">
        <v>337</v>
      </c>
      <c r="F154" s="167" t="s">
        <v>8</v>
      </c>
      <c r="G154" s="170">
        <v>150</v>
      </c>
      <c r="H154" s="246">
        <f t="shared" si="4"/>
        <v>350</v>
      </c>
      <c r="I154" s="525">
        <f>+(705+1310)/4</f>
        <v>503.75</v>
      </c>
      <c r="J154" s="526">
        <f t="shared" si="5"/>
        <v>853.75</v>
      </c>
      <c r="K154" s="366" t="s">
        <v>4996</v>
      </c>
      <c r="L154" s="365">
        <v>6280</v>
      </c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</row>
    <row r="155" spans="1:36" ht="20.25" customHeight="1" x14ac:dyDescent="0.2">
      <c r="A155" s="114">
        <v>150</v>
      </c>
      <c r="B155" s="1" t="s">
        <v>338</v>
      </c>
      <c r="C155" s="6" t="s">
        <v>5149</v>
      </c>
      <c r="D155" s="7" t="s">
        <v>339</v>
      </c>
      <c r="E155" s="2" t="s">
        <v>337</v>
      </c>
      <c r="F155" s="99" t="s">
        <v>11</v>
      </c>
      <c r="G155" s="121">
        <v>100</v>
      </c>
      <c r="H155" s="122">
        <f t="shared" si="4"/>
        <v>400</v>
      </c>
      <c r="I155" s="520">
        <f>+(705+1310)/4</f>
        <v>503.75</v>
      </c>
      <c r="J155" s="514">
        <f t="shared" si="5"/>
        <v>903.75</v>
      </c>
      <c r="K155" s="262"/>
      <c r="L155" s="267"/>
    </row>
    <row r="156" spans="1:36" ht="20.25" customHeight="1" x14ac:dyDescent="0.2">
      <c r="A156" s="114">
        <v>151</v>
      </c>
      <c r="B156" s="1" t="s">
        <v>340</v>
      </c>
      <c r="C156" s="6" t="s">
        <v>5150</v>
      </c>
      <c r="D156" s="7" t="s">
        <v>341</v>
      </c>
      <c r="E156" s="2" t="s">
        <v>337</v>
      </c>
      <c r="F156" s="99" t="s">
        <v>14</v>
      </c>
      <c r="G156" s="121">
        <v>100</v>
      </c>
      <c r="H156" s="122">
        <f t="shared" si="4"/>
        <v>400</v>
      </c>
      <c r="I156" s="520">
        <f>+(705+1310)/4</f>
        <v>503.75</v>
      </c>
      <c r="J156" s="514">
        <f t="shared" si="5"/>
        <v>903.75</v>
      </c>
      <c r="K156" s="262"/>
      <c r="L156" s="267"/>
    </row>
    <row r="157" spans="1:36" ht="20.25" customHeight="1" thickBot="1" x14ac:dyDescent="0.25">
      <c r="A157" s="158">
        <v>152</v>
      </c>
      <c r="B157" s="159" t="s">
        <v>342</v>
      </c>
      <c r="C157" s="160" t="s">
        <v>5149</v>
      </c>
      <c r="D157" s="161" t="s">
        <v>343</v>
      </c>
      <c r="E157" s="162" t="s">
        <v>337</v>
      </c>
      <c r="F157" s="163" t="s">
        <v>17</v>
      </c>
      <c r="G157" s="164">
        <v>200</v>
      </c>
      <c r="H157" s="153">
        <f t="shared" si="4"/>
        <v>300</v>
      </c>
      <c r="I157" s="521">
        <f>+(705+1310)/4</f>
        <v>503.75</v>
      </c>
      <c r="J157" s="516">
        <f t="shared" si="5"/>
        <v>803.75</v>
      </c>
      <c r="K157" s="277"/>
      <c r="L157" s="364"/>
    </row>
    <row r="158" spans="1:36" ht="20.25" customHeight="1" x14ac:dyDescent="0.2">
      <c r="A158" s="115">
        <v>153</v>
      </c>
      <c r="B158" s="373" t="s">
        <v>344</v>
      </c>
      <c r="C158" s="374" t="s">
        <v>5151</v>
      </c>
      <c r="D158" s="375" t="s">
        <v>345</v>
      </c>
      <c r="E158" s="376" t="s">
        <v>346</v>
      </c>
      <c r="F158" s="377" t="s">
        <v>8</v>
      </c>
      <c r="G158" s="378">
        <v>50</v>
      </c>
      <c r="H158" s="124">
        <f t="shared" si="4"/>
        <v>450</v>
      </c>
      <c r="I158" s="513">
        <f>+(750+795)/4</f>
        <v>386.25</v>
      </c>
      <c r="J158" s="517">
        <f t="shared" si="5"/>
        <v>836.25</v>
      </c>
      <c r="K158" s="379"/>
      <c r="L158" s="363"/>
    </row>
    <row r="159" spans="1:36" ht="20.25" customHeight="1" x14ac:dyDescent="0.2">
      <c r="A159" s="114">
        <v>154</v>
      </c>
      <c r="B159" s="52" t="s">
        <v>347</v>
      </c>
      <c r="C159" s="55" t="s">
        <v>5152</v>
      </c>
      <c r="D159" s="56" t="s">
        <v>348</v>
      </c>
      <c r="E159" s="53" t="s">
        <v>346</v>
      </c>
      <c r="F159" s="102" t="s">
        <v>11</v>
      </c>
      <c r="G159" s="129">
        <v>50</v>
      </c>
      <c r="H159" s="122">
        <f t="shared" si="4"/>
        <v>450</v>
      </c>
      <c r="I159" s="520">
        <f>+(750+795)/4</f>
        <v>386.25</v>
      </c>
      <c r="J159" s="514">
        <f t="shared" si="5"/>
        <v>836.25</v>
      </c>
      <c r="K159" s="270"/>
      <c r="L159" s="267"/>
    </row>
    <row r="160" spans="1:36" ht="20.25" customHeight="1" x14ac:dyDescent="0.2">
      <c r="A160" s="114">
        <v>155</v>
      </c>
      <c r="B160" s="16" t="s">
        <v>4845</v>
      </c>
      <c r="C160" s="25" t="s">
        <v>5153</v>
      </c>
      <c r="D160" s="24" t="s">
        <v>4844</v>
      </c>
      <c r="E160" s="53" t="s">
        <v>346</v>
      </c>
      <c r="F160" s="102" t="s">
        <v>14</v>
      </c>
      <c r="G160" s="129">
        <v>150</v>
      </c>
      <c r="H160" s="130">
        <f t="shared" si="4"/>
        <v>350</v>
      </c>
      <c r="I160" s="520">
        <f>+(750+795)/4</f>
        <v>386.25</v>
      </c>
      <c r="J160" s="514">
        <f t="shared" si="5"/>
        <v>736.25</v>
      </c>
      <c r="K160" s="262"/>
      <c r="L160" s="267"/>
    </row>
    <row r="161" spans="1:12" ht="20.25" customHeight="1" thickBot="1" x14ac:dyDescent="0.25">
      <c r="A161" s="117">
        <v>156</v>
      </c>
      <c r="B161" s="380" t="s">
        <v>4846</v>
      </c>
      <c r="C161" s="381" t="s">
        <v>5153</v>
      </c>
      <c r="D161" s="382" t="s">
        <v>1871</v>
      </c>
      <c r="E161" s="383" t="s">
        <v>346</v>
      </c>
      <c r="F161" s="384" t="s">
        <v>17</v>
      </c>
      <c r="G161" s="385">
        <v>150</v>
      </c>
      <c r="H161" s="386">
        <f t="shared" si="4"/>
        <v>350</v>
      </c>
      <c r="I161" s="522">
        <f>+(750+795)/4</f>
        <v>386.25</v>
      </c>
      <c r="J161" s="519">
        <f t="shared" si="5"/>
        <v>736.25</v>
      </c>
      <c r="K161" s="268"/>
      <c r="L161" s="269"/>
    </row>
    <row r="162" spans="1:12" ht="20.25" customHeight="1" x14ac:dyDescent="0.2">
      <c r="A162" s="108">
        <v>157</v>
      </c>
      <c r="B162" s="171" t="s">
        <v>349</v>
      </c>
      <c r="C162" s="110" t="s">
        <v>5154</v>
      </c>
      <c r="D162" s="111" t="s">
        <v>350</v>
      </c>
      <c r="E162" s="112" t="s">
        <v>351</v>
      </c>
      <c r="F162" s="113" t="s">
        <v>8</v>
      </c>
      <c r="G162" s="119">
        <v>50</v>
      </c>
      <c r="H162" s="120">
        <f t="shared" si="4"/>
        <v>450</v>
      </c>
      <c r="I162" s="511">
        <f>+(485+1000)/4</f>
        <v>371.25</v>
      </c>
      <c r="J162" s="512">
        <f t="shared" si="5"/>
        <v>821.25</v>
      </c>
      <c r="K162" s="260"/>
      <c r="L162" s="365"/>
    </row>
    <row r="163" spans="1:12" ht="20.25" customHeight="1" x14ac:dyDescent="0.2">
      <c r="A163" s="114">
        <v>158</v>
      </c>
      <c r="B163" s="1" t="s">
        <v>352</v>
      </c>
      <c r="C163" s="6" t="s">
        <v>5155</v>
      </c>
      <c r="D163" s="7" t="s">
        <v>353</v>
      </c>
      <c r="E163" s="2" t="s">
        <v>351</v>
      </c>
      <c r="F163" s="99" t="s">
        <v>11</v>
      </c>
      <c r="G163" s="121">
        <v>100</v>
      </c>
      <c r="H163" s="122">
        <f t="shared" si="4"/>
        <v>400</v>
      </c>
      <c r="I163" s="520">
        <f>+(485+1000)/4</f>
        <v>371.25</v>
      </c>
      <c r="J163" s="514">
        <f t="shared" si="5"/>
        <v>771.25</v>
      </c>
      <c r="K163" s="262"/>
      <c r="L163" s="267"/>
    </row>
    <row r="164" spans="1:12" ht="20.25" customHeight="1" x14ac:dyDescent="0.2">
      <c r="A164" s="114">
        <v>159</v>
      </c>
      <c r="B164" s="1" t="s">
        <v>354</v>
      </c>
      <c r="C164" s="6" t="s">
        <v>5156</v>
      </c>
      <c r="D164" s="7" t="s">
        <v>355</v>
      </c>
      <c r="E164" s="2" t="s">
        <v>351</v>
      </c>
      <c r="F164" s="99" t="s">
        <v>14</v>
      </c>
      <c r="G164" s="121">
        <v>150</v>
      </c>
      <c r="H164" s="122">
        <f t="shared" si="4"/>
        <v>350</v>
      </c>
      <c r="I164" s="520">
        <f>+(485+1000)/4</f>
        <v>371.25</v>
      </c>
      <c r="J164" s="514">
        <f t="shared" si="5"/>
        <v>721.25</v>
      </c>
      <c r="K164" s="262"/>
      <c r="L164" s="267"/>
    </row>
    <row r="165" spans="1:12" ht="20.25" customHeight="1" thickBot="1" x14ac:dyDescent="0.25">
      <c r="A165" s="158">
        <v>160</v>
      </c>
      <c r="B165" s="159" t="s">
        <v>356</v>
      </c>
      <c r="C165" s="160" t="s">
        <v>5157</v>
      </c>
      <c r="D165" s="161" t="s">
        <v>357</v>
      </c>
      <c r="E165" s="162" t="s">
        <v>351</v>
      </c>
      <c r="F165" s="163" t="s">
        <v>17</v>
      </c>
      <c r="G165" s="164">
        <v>50</v>
      </c>
      <c r="H165" s="153">
        <f t="shared" si="4"/>
        <v>450</v>
      </c>
      <c r="I165" s="521">
        <f>+(485+1000)/4</f>
        <v>371.25</v>
      </c>
      <c r="J165" s="516">
        <f t="shared" si="5"/>
        <v>821.25</v>
      </c>
      <c r="K165" s="277"/>
      <c r="L165" s="364"/>
    </row>
    <row r="166" spans="1:12" ht="20.25" customHeight="1" x14ac:dyDescent="0.2">
      <c r="A166" s="115">
        <v>161</v>
      </c>
      <c r="B166" s="64" t="s">
        <v>358</v>
      </c>
      <c r="C166" s="65" t="s">
        <v>5158</v>
      </c>
      <c r="D166" s="66" t="s">
        <v>359</v>
      </c>
      <c r="E166" s="67" t="s">
        <v>360</v>
      </c>
      <c r="F166" s="98" t="s">
        <v>8</v>
      </c>
      <c r="G166" s="123">
        <v>50</v>
      </c>
      <c r="H166" s="124">
        <f t="shared" si="4"/>
        <v>450</v>
      </c>
      <c r="I166" s="513">
        <f>+(405+985)/4</f>
        <v>347.5</v>
      </c>
      <c r="J166" s="517">
        <f t="shared" si="5"/>
        <v>797.5</v>
      </c>
      <c r="K166" s="264"/>
      <c r="L166" s="363"/>
    </row>
    <row r="167" spans="1:12" ht="20.25" customHeight="1" x14ac:dyDescent="0.2">
      <c r="A167" s="114">
        <v>162</v>
      </c>
      <c r="B167" s="1" t="s">
        <v>361</v>
      </c>
      <c r="C167" s="6" t="s">
        <v>5149</v>
      </c>
      <c r="D167" s="7" t="s">
        <v>362</v>
      </c>
      <c r="E167" s="2" t="s">
        <v>360</v>
      </c>
      <c r="F167" s="99" t="s">
        <v>11</v>
      </c>
      <c r="G167" s="121">
        <v>50</v>
      </c>
      <c r="H167" s="122">
        <f t="shared" si="4"/>
        <v>450</v>
      </c>
      <c r="I167" s="520">
        <f>+(405+985)/4</f>
        <v>347.5</v>
      </c>
      <c r="J167" s="514">
        <f t="shared" si="5"/>
        <v>797.5</v>
      </c>
      <c r="K167" s="262"/>
      <c r="L167" s="267"/>
    </row>
    <row r="168" spans="1:12" ht="20.25" customHeight="1" x14ac:dyDescent="0.2">
      <c r="A168" s="114">
        <v>163</v>
      </c>
      <c r="B168" s="1" t="s">
        <v>363</v>
      </c>
      <c r="C168" s="6" t="s">
        <v>5159</v>
      </c>
      <c r="D168" s="7" t="s">
        <v>364</v>
      </c>
      <c r="E168" s="2" t="s">
        <v>360</v>
      </c>
      <c r="F168" s="99" t="s">
        <v>14</v>
      </c>
      <c r="G168" s="121">
        <v>50</v>
      </c>
      <c r="H168" s="122">
        <f t="shared" si="4"/>
        <v>450</v>
      </c>
      <c r="I168" s="520">
        <f>+(405+985)/4</f>
        <v>347.5</v>
      </c>
      <c r="J168" s="514">
        <f t="shared" si="5"/>
        <v>797.5</v>
      </c>
      <c r="K168" s="262"/>
      <c r="L168" s="267"/>
    </row>
    <row r="169" spans="1:12" ht="20.25" customHeight="1" thickBot="1" x14ac:dyDescent="0.25">
      <c r="A169" s="117">
        <v>164</v>
      </c>
      <c r="B169" s="3" t="s">
        <v>365</v>
      </c>
      <c r="C169" s="8" t="s">
        <v>5160</v>
      </c>
      <c r="D169" s="9" t="s">
        <v>366</v>
      </c>
      <c r="E169" s="4" t="s">
        <v>360</v>
      </c>
      <c r="F169" s="101" t="s">
        <v>17</v>
      </c>
      <c r="G169" s="128">
        <v>50</v>
      </c>
      <c r="H169" s="157">
        <f t="shared" si="4"/>
        <v>450</v>
      </c>
      <c r="I169" s="522">
        <f>+(405+985)/4</f>
        <v>347.5</v>
      </c>
      <c r="J169" s="519">
        <f t="shared" si="5"/>
        <v>797.5</v>
      </c>
      <c r="K169" s="268"/>
      <c r="L169" s="269"/>
    </row>
    <row r="170" spans="1:12" ht="20.25" customHeight="1" x14ac:dyDescent="0.2">
      <c r="A170" s="108">
        <v>165</v>
      </c>
      <c r="B170" s="171" t="s">
        <v>367</v>
      </c>
      <c r="C170" s="110" t="s">
        <v>5161</v>
      </c>
      <c r="D170" s="111" t="s">
        <v>368</v>
      </c>
      <c r="E170" s="112" t="s">
        <v>369</v>
      </c>
      <c r="F170" s="113" t="s">
        <v>8</v>
      </c>
      <c r="G170" s="119">
        <v>50</v>
      </c>
      <c r="H170" s="120">
        <f t="shared" si="4"/>
        <v>450</v>
      </c>
      <c r="I170" s="511">
        <f>+(585+725)/4</f>
        <v>327.5</v>
      </c>
      <c r="J170" s="512">
        <f t="shared" si="5"/>
        <v>777.5</v>
      </c>
      <c r="K170" s="260"/>
      <c r="L170" s="365"/>
    </row>
    <row r="171" spans="1:12" ht="20.25" customHeight="1" x14ac:dyDescent="0.2">
      <c r="A171" s="114">
        <v>166</v>
      </c>
      <c r="B171" s="1" t="s">
        <v>370</v>
      </c>
      <c r="C171" s="6" t="s">
        <v>5162</v>
      </c>
      <c r="D171" s="7" t="s">
        <v>371</v>
      </c>
      <c r="E171" s="2" t="s">
        <v>369</v>
      </c>
      <c r="F171" s="99" t="s">
        <v>11</v>
      </c>
      <c r="G171" s="121">
        <v>50</v>
      </c>
      <c r="H171" s="122">
        <f t="shared" si="4"/>
        <v>450</v>
      </c>
      <c r="I171" s="520">
        <f>+(585+725)/4</f>
        <v>327.5</v>
      </c>
      <c r="J171" s="514">
        <f t="shared" si="5"/>
        <v>777.5</v>
      </c>
      <c r="K171" s="262"/>
      <c r="L171" s="267"/>
    </row>
    <row r="172" spans="1:12" ht="20.25" customHeight="1" x14ac:dyDescent="0.2">
      <c r="A172" s="114">
        <v>167</v>
      </c>
      <c r="B172" s="1" t="s">
        <v>372</v>
      </c>
      <c r="C172" s="6" t="s">
        <v>5163</v>
      </c>
      <c r="D172" s="7" t="s">
        <v>373</v>
      </c>
      <c r="E172" s="2" t="s">
        <v>369</v>
      </c>
      <c r="F172" s="99" t="s">
        <v>14</v>
      </c>
      <c r="G172" s="121">
        <v>50</v>
      </c>
      <c r="H172" s="122">
        <f t="shared" si="4"/>
        <v>450</v>
      </c>
      <c r="I172" s="520">
        <f>+(585+725)/4</f>
        <v>327.5</v>
      </c>
      <c r="J172" s="514">
        <f t="shared" si="5"/>
        <v>777.5</v>
      </c>
      <c r="K172" s="262"/>
      <c r="L172" s="267"/>
    </row>
    <row r="173" spans="1:12" ht="20.25" customHeight="1" thickBot="1" x14ac:dyDescent="0.25">
      <c r="A173" s="158">
        <v>168</v>
      </c>
      <c r="B173" s="159" t="s">
        <v>374</v>
      </c>
      <c r="C173" s="160" t="s">
        <v>5164</v>
      </c>
      <c r="D173" s="161" t="s">
        <v>375</v>
      </c>
      <c r="E173" s="162" t="s">
        <v>369</v>
      </c>
      <c r="F173" s="163" t="s">
        <v>17</v>
      </c>
      <c r="G173" s="164">
        <v>50</v>
      </c>
      <c r="H173" s="153">
        <f t="shared" si="4"/>
        <v>450</v>
      </c>
      <c r="I173" s="521">
        <f>+(585+725)/4</f>
        <v>327.5</v>
      </c>
      <c r="J173" s="516">
        <f t="shared" si="5"/>
        <v>777.5</v>
      </c>
      <c r="K173" s="277"/>
      <c r="L173" s="364"/>
    </row>
    <row r="174" spans="1:12" ht="20.25" customHeight="1" x14ac:dyDescent="0.2">
      <c r="A174" s="115">
        <v>169</v>
      </c>
      <c r="B174" s="61" t="s">
        <v>376</v>
      </c>
      <c r="C174" s="62" t="s">
        <v>5165</v>
      </c>
      <c r="D174" s="63" t="s">
        <v>377</v>
      </c>
      <c r="E174" s="12" t="s">
        <v>378</v>
      </c>
      <c r="F174" s="172" t="s">
        <v>8</v>
      </c>
      <c r="G174" s="173">
        <v>50</v>
      </c>
      <c r="H174" s="124">
        <f t="shared" si="4"/>
        <v>450</v>
      </c>
      <c r="I174" s="513">
        <f>+(290+660)/4</f>
        <v>237.5</v>
      </c>
      <c r="J174" s="517">
        <f t="shared" si="5"/>
        <v>687.5</v>
      </c>
      <c r="K174" s="264"/>
      <c r="L174" s="363"/>
    </row>
    <row r="175" spans="1:12" ht="20.25" customHeight="1" x14ac:dyDescent="0.2">
      <c r="A175" s="114">
        <v>170</v>
      </c>
      <c r="B175" s="47" t="s">
        <v>379</v>
      </c>
      <c r="C175" s="10" t="s">
        <v>5166</v>
      </c>
      <c r="D175" s="11" t="s">
        <v>380</v>
      </c>
      <c r="E175" s="5" t="s">
        <v>378</v>
      </c>
      <c r="F175" s="100" t="s">
        <v>11</v>
      </c>
      <c r="G175" s="125">
        <v>50</v>
      </c>
      <c r="H175" s="122">
        <f t="shared" si="4"/>
        <v>450</v>
      </c>
      <c r="I175" s="520">
        <f>+(290+660)/4</f>
        <v>237.5</v>
      </c>
      <c r="J175" s="514">
        <f t="shared" si="5"/>
        <v>687.5</v>
      </c>
      <c r="K175" s="262"/>
      <c r="L175" s="267"/>
    </row>
    <row r="176" spans="1:12" ht="20.25" customHeight="1" x14ac:dyDescent="0.2">
      <c r="A176" s="114">
        <v>171</v>
      </c>
      <c r="B176" s="47" t="s">
        <v>4847</v>
      </c>
      <c r="C176" s="10" t="s">
        <v>5167</v>
      </c>
      <c r="D176" s="11" t="s">
        <v>4848</v>
      </c>
      <c r="E176" s="5" t="s">
        <v>378</v>
      </c>
      <c r="F176" s="100" t="s">
        <v>14</v>
      </c>
      <c r="G176" s="125">
        <v>150</v>
      </c>
      <c r="H176" s="122">
        <f t="shared" si="4"/>
        <v>350</v>
      </c>
      <c r="I176" s="520">
        <f>+(290+660)/4</f>
        <v>237.5</v>
      </c>
      <c r="J176" s="514">
        <f t="shared" si="5"/>
        <v>587.5</v>
      </c>
      <c r="K176" s="262"/>
      <c r="L176" s="267"/>
    </row>
    <row r="177" spans="1:36" ht="20.25" customHeight="1" thickBot="1" x14ac:dyDescent="0.25">
      <c r="A177" s="117">
        <v>172</v>
      </c>
      <c r="B177" s="357" t="s">
        <v>381</v>
      </c>
      <c r="C177" s="358" t="s">
        <v>5168</v>
      </c>
      <c r="D177" s="359" t="s">
        <v>382</v>
      </c>
      <c r="E177" s="360" t="s">
        <v>378</v>
      </c>
      <c r="F177" s="361" t="s">
        <v>17</v>
      </c>
      <c r="G177" s="362">
        <v>150</v>
      </c>
      <c r="H177" s="157">
        <f t="shared" si="4"/>
        <v>350</v>
      </c>
      <c r="I177" s="522">
        <f>+(290+660)/4</f>
        <v>237.5</v>
      </c>
      <c r="J177" s="519">
        <f t="shared" si="5"/>
        <v>587.5</v>
      </c>
      <c r="K177" s="268"/>
      <c r="L177" s="269"/>
    </row>
    <row r="178" spans="1:36" ht="20.25" customHeight="1" x14ac:dyDescent="0.2">
      <c r="A178" s="108">
        <v>173</v>
      </c>
      <c r="B178" s="174" t="s">
        <v>4850</v>
      </c>
      <c r="C178" s="175" t="s">
        <v>5056</v>
      </c>
      <c r="D178" s="176" t="s">
        <v>4849</v>
      </c>
      <c r="E178" s="177">
        <v>1309</v>
      </c>
      <c r="F178" s="178">
        <v>1</v>
      </c>
      <c r="G178" s="179">
        <v>150</v>
      </c>
      <c r="H178" s="120">
        <f t="shared" si="4"/>
        <v>350</v>
      </c>
      <c r="I178" s="511">
        <f>+(605+710)/4</f>
        <v>328.75</v>
      </c>
      <c r="J178" s="512">
        <f t="shared" si="5"/>
        <v>678.75</v>
      </c>
      <c r="K178" s="260"/>
      <c r="L178" s="365"/>
    </row>
    <row r="179" spans="1:36" s="17" customFormat="1" ht="20.25" customHeight="1" x14ac:dyDescent="0.2">
      <c r="A179" s="114">
        <v>174</v>
      </c>
      <c r="B179" s="47" t="s">
        <v>383</v>
      </c>
      <c r="C179" s="10" t="s">
        <v>5169</v>
      </c>
      <c r="D179" s="11" t="s">
        <v>384</v>
      </c>
      <c r="E179" s="5" t="s">
        <v>385</v>
      </c>
      <c r="F179" s="100" t="s">
        <v>11</v>
      </c>
      <c r="G179" s="125">
        <v>150</v>
      </c>
      <c r="H179" s="122">
        <f t="shared" si="4"/>
        <v>350</v>
      </c>
      <c r="I179" s="520">
        <f>+(605+710)/4</f>
        <v>328.75</v>
      </c>
      <c r="J179" s="514">
        <f t="shared" si="5"/>
        <v>678.75</v>
      </c>
      <c r="K179" s="262"/>
      <c r="L179" s="267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:36" s="17" customFormat="1" ht="20.25" customHeight="1" x14ac:dyDescent="0.2">
      <c r="A180" s="114">
        <v>175</v>
      </c>
      <c r="B180" s="47" t="s">
        <v>386</v>
      </c>
      <c r="C180" s="10" t="s">
        <v>5170</v>
      </c>
      <c r="D180" s="11" t="s">
        <v>387</v>
      </c>
      <c r="E180" s="5" t="s">
        <v>385</v>
      </c>
      <c r="F180" s="100" t="s">
        <v>14</v>
      </c>
      <c r="G180" s="125">
        <v>150</v>
      </c>
      <c r="H180" s="122">
        <f t="shared" si="4"/>
        <v>350</v>
      </c>
      <c r="I180" s="520">
        <f>+(605+710)/4</f>
        <v>328.75</v>
      </c>
      <c r="J180" s="514">
        <f t="shared" si="5"/>
        <v>678.75</v>
      </c>
      <c r="K180" s="262"/>
      <c r="L180" s="267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:36" s="17" customFormat="1" ht="20.25" customHeight="1" thickBot="1" x14ac:dyDescent="0.25">
      <c r="A181" s="158">
        <v>176</v>
      </c>
      <c r="B181" s="192" t="s">
        <v>388</v>
      </c>
      <c r="C181" s="193" t="s">
        <v>5171</v>
      </c>
      <c r="D181" s="194" t="s">
        <v>389</v>
      </c>
      <c r="E181" s="195" t="s">
        <v>385</v>
      </c>
      <c r="F181" s="196" t="s">
        <v>17</v>
      </c>
      <c r="G181" s="197">
        <v>50</v>
      </c>
      <c r="H181" s="153">
        <f t="shared" si="4"/>
        <v>450</v>
      </c>
      <c r="I181" s="521">
        <f>+(605+710)/4</f>
        <v>328.75</v>
      </c>
      <c r="J181" s="516">
        <f t="shared" si="5"/>
        <v>778.75</v>
      </c>
      <c r="K181" s="277"/>
      <c r="L181" s="364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:36" ht="20.25" customHeight="1" x14ac:dyDescent="0.2">
      <c r="A182" s="115">
        <v>177</v>
      </c>
      <c r="B182" s="64" t="s">
        <v>390</v>
      </c>
      <c r="C182" s="65" t="s">
        <v>5142</v>
      </c>
      <c r="D182" s="66" t="s">
        <v>391</v>
      </c>
      <c r="E182" s="67" t="s">
        <v>392</v>
      </c>
      <c r="F182" s="98" t="s">
        <v>8</v>
      </c>
      <c r="G182" s="123">
        <v>150</v>
      </c>
      <c r="H182" s="124">
        <f t="shared" si="4"/>
        <v>350</v>
      </c>
      <c r="I182" s="513">
        <f>+(135+770)/4</f>
        <v>226.25</v>
      </c>
      <c r="J182" s="517">
        <f t="shared" si="5"/>
        <v>576.25</v>
      </c>
      <c r="K182" s="264"/>
      <c r="L182" s="363"/>
    </row>
    <row r="183" spans="1:36" ht="20.25" customHeight="1" x14ac:dyDescent="0.2">
      <c r="A183" s="114">
        <v>178</v>
      </c>
      <c r="B183" s="1" t="s">
        <v>393</v>
      </c>
      <c r="C183" s="6" t="s">
        <v>5172</v>
      </c>
      <c r="D183" s="7" t="s">
        <v>394</v>
      </c>
      <c r="E183" s="2" t="s">
        <v>392</v>
      </c>
      <c r="F183" s="99" t="s">
        <v>11</v>
      </c>
      <c r="G183" s="121">
        <v>100</v>
      </c>
      <c r="H183" s="122">
        <f t="shared" si="4"/>
        <v>400</v>
      </c>
      <c r="I183" s="520">
        <f>+(135+770)/4</f>
        <v>226.25</v>
      </c>
      <c r="J183" s="514">
        <f t="shared" si="5"/>
        <v>626.25</v>
      </c>
      <c r="K183" s="262"/>
      <c r="L183" s="267"/>
    </row>
    <row r="184" spans="1:36" ht="20.25" customHeight="1" x14ac:dyDescent="0.2">
      <c r="A184" s="114">
        <v>179</v>
      </c>
      <c r="B184" s="1" t="s">
        <v>395</v>
      </c>
      <c r="C184" s="6" t="s">
        <v>5173</v>
      </c>
      <c r="D184" s="7" t="s">
        <v>396</v>
      </c>
      <c r="E184" s="2" t="s">
        <v>392</v>
      </c>
      <c r="F184" s="99" t="s">
        <v>14</v>
      </c>
      <c r="G184" s="121">
        <v>100</v>
      </c>
      <c r="H184" s="122">
        <f t="shared" si="4"/>
        <v>400</v>
      </c>
      <c r="I184" s="520">
        <f>+(135+770)/4</f>
        <v>226.25</v>
      </c>
      <c r="J184" s="514">
        <f t="shared" si="5"/>
        <v>626.25</v>
      </c>
      <c r="K184" s="262"/>
      <c r="L184" s="267"/>
    </row>
    <row r="185" spans="1:36" ht="20.25" customHeight="1" thickBot="1" x14ac:dyDescent="0.25">
      <c r="A185" s="117">
        <v>180</v>
      </c>
      <c r="B185" s="3" t="s">
        <v>397</v>
      </c>
      <c r="C185" s="8" t="s">
        <v>5174</v>
      </c>
      <c r="D185" s="9" t="s">
        <v>398</v>
      </c>
      <c r="E185" s="4" t="s">
        <v>392</v>
      </c>
      <c r="F185" s="101" t="s">
        <v>17</v>
      </c>
      <c r="G185" s="128">
        <v>50</v>
      </c>
      <c r="H185" s="157">
        <f t="shared" si="4"/>
        <v>450</v>
      </c>
      <c r="I185" s="522">
        <f>+(135+770)/4</f>
        <v>226.25</v>
      </c>
      <c r="J185" s="519">
        <f t="shared" si="5"/>
        <v>676.25</v>
      </c>
      <c r="K185" s="268"/>
      <c r="L185" s="269"/>
    </row>
    <row r="186" spans="1:36" ht="20.25" customHeight="1" x14ac:dyDescent="0.2">
      <c r="A186" s="108">
        <v>181</v>
      </c>
      <c r="B186" s="171" t="s">
        <v>399</v>
      </c>
      <c r="C186" s="110" t="s">
        <v>5175</v>
      </c>
      <c r="D186" s="111" t="s">
        <v>400</v>
      </c>
      <c r="E186" s="112" t="s">
        <v>401</v>
      </c>
      <c r="F186" s="113" t="s">
        <v>8</v>
      </c>
      <c r="G186" s="119">
        <v>50</v>
      </c>
      <c r="H186" s="120">
        <f t="shared" si="4"/>
        <v>450</v>
      </c>
      <c r="I186" s="511">
        <f>+(360+715)/4</f>
        <v>268.75</v>
      </c>
      <c r="J186" s="512">
        <f t="shared" si="5"/>
        <v>718.75</v>
      </c>
      <c r="K186" s="260"/>
      <c r="L186" s="365"/>
    </row>
    <row r="187" spans="1:36" ht="20.25" customHeight="1" x14ac:dyDescent="0.2">
      <c r="A187" s="114">
        <v>182</v>
      </c>
      <c r="B187" s="1" t="s">
        <v>402</v>
      </c>
      <c r="C187" s="6" t="s">
        <v>5176</v>
      </c>
      <c r="D187" s="7" t="s">
        <v>185</v>
      </c>
      <c r="E187" s="2" t="s">
        <v>401</v>
      </c>
      <c r="F187" s="99" t="s">
        <v>11</v>
      </c>
      <c r="G187" s="121">
        <v>50</v>
      </c>
      <c r="H187" s="122">
        <f t="shared" si="4"/>
        <v>450</v>
      </c>
      <c r="I187" s="520">
        <f>+(360+715)/4</f>
        <v>268.75</v>
      </c>
      <c r="J187" s="514">
        <f t="shared" si="5"/>
        <v>718.75</v>
      </c>
      <c r="K187" s="262"/>
      <c r="L187" s="267"/>
    </row>
    <row r="188" spans="1:36" ht="20.25" customHeight="1" x14ac:dyDescent="0.2">
      <c r="A188" s="114">
        <v>183</v>
      </c>
      <c r="B188" s="1" t="s">
        <v>403</v>
      </c>
      <c r="C188" s="6" t="s">
        <v>5177</v>
      </c>
      <c r="D188" s="7" t="s">
        <v>404</v>
      </c>
      <c r="E188" s="2" t="s">
        <v>401</v>
      </c>
      <c r="F188" s="99" t="s">
        <v>14</v>
      </c>
      <c r="G188" s="121">
        <v>100</v>
      </c>
      <c r="H188" s="122">
        <f t="shared" si="4"/>
        <v>400</v>
      </c>
      <c r="I188" s="520">
        <f>+(360+715)/4</f>
        <v>268.75</v>
      </c>
      <c r="J188" s="514">
        <f t="shared" si="5"/>
        <v>668.75</v>
      </c>
      <c r="K188" s="262"/>
      <c r="L188" s="267"/>
    </row>
    <row r="189" spans="1:36" ht="20.25" customHeight="1" thickBot="1" x14ac:dyDescent="0.25">
      <c r="A189" s="158">
        <v>184</v>
      </c>
      <c r="B189" s="159" t="s">
        <v>405</v>
      </c>
      <c r="C189" s="160" t="s">
        <v>5178</v>
      </c>
      <c r="D189" s="161" t="s">
        <v>406</v>
      </c>
      <c r="E189" s="162" t="s">
        <v>401</v>
      </c>
      <c r="F189" s="163" t="s">
        <v>17</v>
      </c>
      <c r="G189" s="164">
        <v>100</v>
      </c>
      <c r="H189" s="153">
        <f t="shared" si="4"/>
        <v>400</v>
      </c>
      <c r="I189" s="521">
        <f>+(360+715)/4</f>
        <v>268.75</v>
      </c>
      <c r="J189" s="516">
        <f t="shared" si="5"/>
        <v>668.75</v>
      </c>
      <c r="K189" s="277"/>
      <c r="L189" s="364"/>
    </row>
    <row r="190" spans="1:36" ht="20.25" customHeight="1" x14ac:dyDescent="0.2">
      <c r="A190" s="115">
        <v>185</v>
      </c>
      <c r="B190" s="64" t="s">
        <v>407</v>
      </c>
      <c r="C190" s="65" t="s">
        <v>5149</v>
      </c>
      <c r="D190" s="66" t="s">
        <v>408</v>
      </c>
      <c r="E190" s="67" t="s">
        <v>409</v>
      </c>
      <c r="F190" s="98" t="s">
        <v>8</v>
      </c>
      <c r="G190" s="123">
        <v>100</v>
      </c>
      <c r="H190" s="124">
        <f t="shared" si="4"/>
        <v>400</v>
      </c>
      <c r="I190" s="513">
        <f>+(565+0)/4</f>
        <v>141.25</v>
      </c>
      <c r="J190" s="517">
        <f t="shared" si="5"/>
        <v>541.25</v>
      </c>
      <c r="K190" s="264"/>
      <c r="L190" s="363"/>
    </row>
    <row r="191" spans="1:36" ht="20.25" customHeight="1" x14ac:dyDescent="0.2">
      <c r="A191" s="114">
        <v>186</v>
      </c>
      <c r="B191" s="1" t="s">
        <v>410</v>
      </c>
      <c r="C191" s="6" t="s">
        <v>5179</v>
      </c>
      <c r="D191" s="7" t="s">
        <v>411</v>
      </c>
      <c r="E191" s="2" t="s">
        <v>409</v>
      </c>
      <c r="F191" s="99" t="s">
        <v>11</v>
      </c>
      <c r="G191" s="121">
        <v>50</v>
      </c>
      <c r="H191" s="122">
        <f t="shared" si="4"/>
        <v>450</v>
      </c>
      <c r="I191" s="520">
        <f>+(565+0)/4</f>
        <v>141.25</v>
      </c>
      <c r="J191" s="514">
        <f t="shared" si="5"/>
        <v>591.25</v>
      </c>
      <c r="K191" s="262"/>
      <c r="L191" s="267"/>
    </row>
    <row r="192" spans="1:36" ht="20.25" customHeight="1" x14ac:dyDescent="0.2">
      <c r="A192" s="114">
        <v>187</v>
      </c>
      <c r="B192" s="1" t="s">
        <v>412</v>
      </c>
      <c r="C192" s="6" t="s">
        <v>5180</v>
      </c>
      <c r="D192" s="7" t="s">
        <v>413</v>
      </c>
      <c r="E192" s="2" t="s">
        <v>409</v>
      </c>
      <c r="F192" s="99" t="s">
        <v>14</v>
      </c>
      <c r="G192" s="121">
        <v>50</v>
      </c>
      <c r="H192" s="122">
        <f t="shared" si="4"/>
        <v>450</v>
      </c>
      <c r="I192" s="520">
        <f>+(565+0)/4</f>
        <v>141.25</v>
      </c>
      <c r="J192" s="514">
        <f t="shared" si="5"/>
        <v>591.25</v>
      </c>
      <c r="K192" s="262"/>
      <c r="L192" s="267"/>
    </row>
    <row r="193" spans="1:36" ht="20.25" customHeight="1" thickBot="1" x14ac:dyDescent="0.25">
      <c r="A193" s="117">
        <v>188</v>
      </c>
      <c r="B193" s="3" t="s">
        <v>414</v>
      </c>
      <c r="C193" s="8" t="s">
        <v>5181</v>
      </c>
      <c r="D193" s="9" t="s">
        <v>415</v>
      </c>
      <c r="E193" s="4" t="s">
        <v>409</v>
      </c>
      <c r="F193" s="101" t="s">
        <v>17</v>
      </c>
      <c r="G193" s="128">
        <v>50</v>
      </c>
      <c r="H193" s="157">
        <f t="shared" si="4"/>
        <v>450</v>
      </c>
      <c r="I193" s="522">
        <f>+(565+0)/4</f>
        <v>141.25</v>
      </c>
      <c r="J193" s="519">
        <f t="shared" si="5"/>
        <v>591.25</v>
      </c>
      <c r="K193" s="268"/>
      <c r="L193" s="269"/>
    </row>
    <row r="194" spans="1:36" ht="20.25" customHeight="1" x14ac:dyDescent="0.2">
      <c r="A194" s="108">
        <v>189</v>
      </c>
      <c r="B194" s="171" t="s">
        <v>416</v>
      </c>
      <c r="C194" s="110" t="s">
        <v>5182</v>
      </c>
      <c r="D194" s="111" t="s">
        <v>417</v>
      </c>
      <c r="E194" s="112" t="s">
        <v>418</v>
      </c>
      <c r="F194" s="113" t="s">
        <v>8</v>
      </c>
      <c r="G194" s="119">
        <v>100</v>
      </c>
      <c r="H194" s="120">
        <f t="shared" si="4"/>
        <v>400</v>
      </c>
      <c r="I194" s="511">
        <f>+(835+1135)/4</f>
        <v>492.5</v>
      </c>
      <c r="J194" s="512">
        <f t="shared" si="5"/>
        <v>892.5</v>
      </c>
      <c r="K194" s="260"/>
      <c r="L194" s="365"/>
    </row>
    <row r="195" spans="1:36" s="37" customFormat="1" ht="20.25" customHeight="1" x14ac:dyDescent="0.2">
      <c r="A195" s="116">
        <v>190</v>
      </c>
      <c r="B195" s="46" t="s">
        <v>419</v>
      </c>
      <c r="C195" s="29" t="s">
        <v>5183</v>
      </c>
      <c r="D195" s="28" t="s">
        <v>420</v>
      </c>
      <c r="E195" s="30" t="s">
        <v>418</v>
      </c>
      <c r="F195" s="73" t="s">
        <v>11</v>
      </c>
      <c r="G195" s="126">
        <v>100</v>
      </c>
      <c r="H195" s="127">
        <f t="shared" si="4"/>
        <v>400</v>
      </c>
      <c r="I195" s="523">
        <f>+(835+1135)/4</f>
        <v>492.5</v>
      </c>
      <c r="J195" s="524">
        <f t="shared" si="5"/>
        <v>892.5</v>
      </c>
      <c r="K195" s="266" t="s">
        <v>4996</v>
      </c>
      <c r="L195" s="267">
        <v>5500</v>
      </c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</row>
    <row r="196" spans="1:36" ht="20.25" customHeight="1" x14ac:dyDescent="0.2">
      <c r="A196" s="114">
        <v>191</v>
      </c>
      <c r="B196" s="1" t="s">
        <v>421</v>
      </c>
      <c r="C196" s="6" t="s">
        <v>5074</v>
      </c>
      <c r="D196" s="7" t="s">
        <v>422</v>
      </c>
      <c r="E196" s="2" t="s">
        <v>418</v>
      </c>
      <c r="F196" s="99" t="s">
        <v>14</v>
      </c>
      <c r="G196" s="121">
        <v>150</v>
      </c>
      <c r="H196" s="122">
        <f t="shared" si="4"/>
        <v>350</v>
      </c>
      <c r="I196" s="520">
        <f>+(835+1135)/4</f>
        <v>492.5</v>
      </c>
      <c r="J196" s="514">
        <f t="shared" si="5"/>
        <v>842.5</v>
      </c>
      <c r="K196" s="262"/>
      <c r="L196" s="267"/>
    </row>
    <row r="197" spans="1:36" s="37" customFormat="1" ht="20.25" customHeight="1" thickBot="1" x14ac:dyDescent="0.25">
      <c r="A197" s="147">
        <v>192</v>
      </c>
      <c r="B197" s="148" t="s">
        <v>423</v>
      </c>
      <c r="C197" s="198" t="s">
        <v>5184</v>
      </c>
      <c r="D197" s="150" t="s">
        <v>424</v>
      </c>
      <c r="E197" s="151" t="s">
        <v>418</v>
      </c>
      <c r="F197" s="149" t="s">
        <v>17</v>
      </c>
      <c r="G197" s="152">
        <v>50</v>
      </c>
      <c r="H197" s="247">
        <f t="shared" si="4"/>
        <v>450</v>
      </c>
      <c r="I197" s="527">
        <f>+(835+1135)/4</f>
        <v>492.5</v>
      </c>
      <c r="J197" s="528">
        <f t="shared" si="5"/>
        <v>942.5</v>
      </c>
      <c r="K197" s="387" t="s">
        <v>4996</v>
      </c>
      <c r="L197" s="364">
        <v>5500</v>
      </c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</row>
    <row r="198" spans="1:36" ht="20.25" customHeight="1" x14ac:dyDescent="0.2">
      <c r="A198" s="115">
        <v>193</v>
      </c>
      <c r="B198" s="64" t="s">
        <v>425</v>
      </c>
      <c r="C198" s="65" t="s">
        <v>5097</v>
      </c>
      <c r="D198" s="66" t="s">
        <v>426</v>
      </c>
      <c r="E198" s="67" t="s">
        <v>427</v>
      </c>
      <c r="F198" s="98" t="s">
        <v>8</v>
      </c>
      <c r="G198" s="123">
        <v>50</v>
      </c>
      <c r="H198" s="124">
        <f t="shared" si="4"/>
        <v>450</v>
      </c>
      <c r="I198" s="513">
        <f>+(0+0)/4</f>
        <v>0</v>
      </c>
      <c r="J198" s="517">
        <f t="shared" si="5"/>
        <v>450</v>
      </c>
      <c r="K198" s="264"/>
      <c r="L198" s="363"/>
    </row>
    <row r="199" spans="1:36" ht="20.25" customHeight="1" x14ac:dyDescent="0.2">
      <c r="A199" s="114">
        <v>194</v>
      </c>
      <c r="B199" s="1" t="s">
        <v>428</v>
      </c>
      <c r="C199" s="6" t="s">
        <v>5185</v>
      </c>
      <c r="D199" s="7" t="s">
        <v>429</v>
      </c>
      <c r="E199" s="2" t="s">
        <v>427</v>
      </c>
      <c r="F199" s="99" t="s">
        <v>11</v>
      </c>
      <c r="G199" s="121">
        <v>50</v>
      </c>
      <c r="H199" s="122">
        <f t="shared" ref="H199:H262" si="6">500-G199</f>
        <v>450</v>
      </c>
      <c r="I199" s="520">
        <f>+(0+0)/4</f>
        <v>0</v>
      </c>
      <c r="J199" s="514">
        <f t="shared" si="5"/>
        <v>450</v>
      </c>
      <c r="K199" s="262"/>
      <c r="L199" s="267"/>
    </row>
    <row r="200" spans="1:36" ht="20.25" customHeight="1" x14ac:dyDescent="0.2">
      <c r="A200" s="114">
        <v>195</v>
      </c>
      <c r="B200" s="1" t="s">
        <v>430</v>
      </c>
      <c r="C200" s="6" t="s">
        <v>5105</v>
      </c>
      <c r="D200" s="7" t="s">
        <v>431</v>
      </c>
      <c r="E200" s="2" t="s">
        <v>427</v>
      </c>
      <c r="F200" s="99" t="s">
        <v>14</v>
      </c>
      <c r="G200" s="121">
        <v>50</v>
      </c>
      <c r="H200" s="122">
        <f t="shared" si="6"/>
        <v>450</v>
      </c>
      <c r="I200" s="520">
        <f>+(0+0)/4</f>
        <v>0</v>
      </c>
      <c r="J200" s="514">
        <f t="shared" ref="J200:J263" si="7">SUM(H200:I200)</f>
        <v>450</v>
      </c>
      <c r="K200" s="262"/>
      <c r="L200" s="267"/>
    </row>
    <row r="201" spans="1:36" ht="20.25" customHeight="1" thickBot="1" x14ac:dyDescent="0.25">
      <c r="A201" s="117">
        <v>196</v>
      </c>
      <c r="B201" s="3" t="s">
        <v>432</v>
      </c>
      <c r="C201" s="8" t="s">
        <v>5186</v>
      </c>
      <c r="D201" s="9" t="s">
        <v>433</v>
      </c>
      <c r="E201" s="4" t="s">
        <v>427</v>
      </c>
      <c r="F201" s="101" t="s">
        <v>17</v>
      </c>
      <c r="G201" s="128">
        <v>50</v>
      </c>
      <c r="H201" s="157">
        <f t="shared" si="6"/>
        <v>450</v>
      </c>
      <c r="I201" s="522">
        <f>+(0+0)/4</f>
        <v>0</v>
      </c>
      <c r="J201" s="519">
        <f t="shared" si="7"/>
        <v>450</v>
      </c>
      <c r="K201" s="268"/>
      <c r="L201" s="269"/>
    </row>
    <row r="202" spans="1:36" ht="20.25" customHeight="1" x14ac:dyDescent="0.2">
      <c r="A202" s="108">
        <v>197</v>
      </c>
      <c r="B202" s="171" t="s">
        <v>434</v>
      </c>
      <c r="C202" s="110" t="s">
        <v>5187</v>
      </c>
      <c r="D202" s="111" t="s">
        <v>435</v>
      </c>
      <c r="E202" s="112" t="s">
        <v>436</v>
      </c>
      <c r="F202" s="113" t="s">
        <v>8</v>
      </c>
      <c r="G202" s="119">
        <v>50</v>
      </c>
      <c r="H202" s="120">
        <f t="shared" si="6"/>
        <v>450</v>
      </c>
      <c r="I202" s="511">
        <f>+(150+950)/4</f>
        <v>275</v>
      </c>
      <c r="J202" s="512">
        <f t="shared" si="7"/>
        <v>725</v>
      </c>
      <c r="K202" s="260"/>
      <c r="L202" s="365"/>
    </row>
    <row r="203" spans="1:36" ht="20.25" customHeight="1" x14ac:dyDescent="0.2">
      <c r="A203" s="114">
        <v>198</v>
      </c>
      <c r="B203" s="1" t="s">
        <v>437</v>
      </c>
      <c r="C203" s="6" t="s">
        <v>5188</v>
      </c>
      <c r="D203" s="7" t="s">
        <v>438</v>
      </c>
      <c r="E203" s="2" t="s">
        <v>436</v>
      </c>
      <c r="F203" s="99" t="s">
        <v>11</v>
      </c>
      <c r="G203" s="121">
        <v>100</v>
      </c>
      <c r="H203" s="122">
        <f t="shared" si="6"/>
        <v>400</v>
      </c>
      <c r="I203" s="520">
        <f>+(150+950)/4</f>
        <v>275</v>
      </c>
      <c r="J203" s="514">
        <f t="shared" si="7"/>
        <v>675</v>
      </c>
      <c r="K203" s="262"/>
      <c r="L203" s="267"/>
    </row>
    <row r="204" spans="1:36" ht="20.25" customHeight="1" x14ac:dyDescent="0.2">
      <c r="A204" s="114">
        <v>199</v>
      </c>
      <c r="B204" s="1" t="s">
        <v>439</v>
      </c>
      <c r="C204" s="6" t="s">
        <v>5189</v>
      </c>
      <c r="D204" s="7" t="s">
        <v>440</v>
      </c>
      <c r="E204" s="2" t="s">
        <v>436</v>
      </c>
      <c r="F204" s="99" t="s">
        <v>14</v>
      </c>
      <c r="G204" s="121">
        <v>50</v>
      </c>
      <c r="H204" s="122">
        <f t="shared" si="6"/>
        <v>450</v>
      </c>
      <c r="I204" s="520">
        <f>+(150+950)/4</f>
        <v>275</v>
      </c>
      <c r="J204" s="514">
        <f t="shared" si="7"/>
        <v>725</v>
      </c>
      <c r="K204" s="262"/>
      <c r="L204" s="267"/>
    </row>
    <row r="205" spans="1:36" ht="20.25" customHeight="1" thickBot="1" x14ac:dyDescent="0.25">
      <c r="A205" s="158">
        <v>200</v>
      </c>
      <c r="B205" s="159" t="s">
        <v>441</v>
      </c>
      <c r="C205" s="160" t="s">
        <v>5190</v>
      </c>
      <c r="D205" s="161" t="s">
        <v>442</v>
      </c>
      <c r="E205" s="162" t="s">
        <v>436</v>
      </c>
      <c r="F205" s="163" t="s">
        <v>17</v>
      </c>
      <c r="G205" s="164">
        <v>50</v>
      </c>
      <c r="H205" s="153">
        <f t="shared" si="6"/>
        <v>450</v>
      </c>
      <c r="I205" s="521">
        <f>+(150+950)/4</f>
        <v>275</v>
      </c>
      <c r="J205" s="516">
        <f t="shared" si="7"/>
        <v>725</v>
      </c>
      <c r="K205" s="277"/>
      <c r="L205" s="364"/>
    </row>
    <row r="206" spans="1:36" ht="20.25" customHeight="1" x14ac:dyDescent="0.2">
      <c r="A206" s="115">
        <v>201</v>
      </c>
      <c r="B206" s="64" t="s">
        <v>443</v>
      </c>
      <c r="C206" s="65" t="s">
        <v>5107</v>
      </c>
      <c r="D206" s="66" t="s">
        <v>444</v>
      </c>
      <c r="E206" s="67" t="s">
        <v>445</v>
      </c>
      <c r="F206" s="98" t="s">
        <v>8</v>
      </c>
      <c r="G206" s="123">
        <v>100</v>
      </c>
      <c r="H206" s="124">
        <f t="shared" si="6"/>
        <v>400</v>
      </c>
      <c r="I206" s="513">
        <f>+(110+800)/4</f>
        <v>227.5</v>
      </c>
      <c r="J206" s="517">
        <f t="shared" si="7"/>
        <v>627.5</v>
      </c>
      <c r="K206" s="264"/>
      <c r="L206" s="363"/>
    </row>
    <row r="207" spans="1:36" ht="20.25" customHeight="1" x14ac:dyDescent="0.2">
      <c r="A207" s="114">
        <v>202</v>
      </c>
      <c r="B207" s="1" t="s">
        <v>446</v>
      </c>
      <c r="C207" s="6" t="s">
        <v>5191</v>
      </c>
      <c r="D207" s="7" t="s">
        <v>447</v>
      </c>
      <c r="E207" s="2" t="s">
        <v>445</v>
      </c>
      <c r="F207" s="99" t="s">
        <v>11</v>
      </c>
      <c r="G207" s="121">
        <v>50</v>
      </c>
      <c r="H207" s="122">
        <f t="shared" si="6"/>
        <v>450</v>
      </c>
      <c r="I207" s="520">
        <f>+(110+800)/4</f>
        <v>227.5</v>
      </c>
      <c r="J207" s="514">
        <f t="shared" si="7"/>
        <v>677.5</v>
      </c>
      <c r="K207" s="262"/>
      <c r="L207" s="267"/>
    </row>
    <row r="208" spans="1:36" ht="20.25" customHeight="1" x14ac:dyDescent="0.2">
      <c r="A208" s="114">
        <v>203</v>
      </c>
      <c r="B208" s="1" t="s">
        <v>448</v>
      </c>
      <c r="C208" s="6" t="s">
        <v>5121</v>
      </c>
      <c r="D208" s="7" t="s">
        <v>449</v>
      </c>
      <c r="E208" s="2" t="s">
        <v>445</v>
      </c>
      <c r="F208" s="99" t="s">
        <v>14</v>
      </c>
      <c r="G208" s="121">
        <v>100</v>
      </c>
      <c r="H208" s="122">
        <f t="shared" si="6"/>
        <v>400</v>
      </c>
      <c r="I208" s="520">
        <f>+(110+800)/4</f>
        <v>227.5</v>
      </c>
      <c r="J208" s="514">
        <f t="shared" si="7"/>
        <v>627.5</v>
      </c>
      <c r="K208" s="262"/>
      <c r="L208" s="267"/>
    </row>
    <row r="209" spans="1:12" ht="20.25" customHeight="1" thickBot="1" x14ac:dyDescent="0.25">
      <c r="A209" s="117">
        <v>204</v>
      </c>
      <c r="B209" s="3" t="s">
        <v>450</v>
      </c>
      <c r="C209" s="8" t="s">
        <v>5192</v>
      </c>
      <c r="D209" s="9" t="s">
        <v>451</v>
      </c>
      <c r="E209" s="4" t="s">
        <v>445</v>
      </c>
      <c r="F209" s="101" t="s">
        <v>17</v>
      </c>
      <c r="G209" s="128">
        <v>100</v>
      </c>
      <c r="H209" s="157">
        <f t="shared" si="6"/>
        <v>400</v>
      </c>
      <c r="I209" s="522">
        <f>+(110+800)/4</f>
        <v>227.5</v>
      </c>
      <c r="J209" s="519">
        <f t="shared" si="7"/>
        <v>627.5</v>
      </c>
      <c r="K209" s="268"/>
      <c r="L209" s="269"/>
    </row>
    <row r="210" spans="1:12" ht="20.25" customHeight="1" x14ac:dyDescent="0.2">
      <c r="A210" s="108">
        <v>205</v>
      </c>
      <c r="B210" s="171" t="s">
        <v>452</v>
      </c>
      <c r="C210" s="110" t="s">
        <v>5193</v>
      </c>
      <c r="D210" s="111" t="s">
        <v>453</v>
      </c>
      <c r="E210" s="112" t="s">
        <v>454</v>
      </c>
      <c r="F210" s="113" t="s">
        <v>8</v>
      </c>
      <c r="G210" s="119">
        <v>100</v>
      </c>
      <c r="H210" s="120">
        <f t="shared" si="6"/>
        <v>400</v>
      </c>
      <c r="I210" s="511">
        <f>+(1270+1375)/4</f>
        <v>661.25</v>
      </c>
      <c r="J210" s="512">
        <f t="shared" si="7"/>
        <v>1061.25</v>
      </c>
      <c r="K210" s="260"/>
      <c r="L210" s="365"/>
    </row>
    <row r="211" spans="1:12" ht="20.25" customHeight="1" x14ac:dyDescent="0.2">
      <c r="A211" s="114">
        <v>206</v>
      </c>
      <c r="B211" s="1" t="s">
        <v>455</v>
      </c>
      <c r="C211" s="6" t="s">
        <v>5194</v>
      </c>
      <c r="D211" s="7" t="s">
        <v>456</v>
      </c>
      <c r="E211" s="2" t="s">
        <v>454</v>
      </c>
      <c r="F211" s="99" t="s">
        <v>11</v>
      </c>
      <c r="G211" s="121">
        <v>100</v>
      </c>
      <c r="H211" s="122">
        <f t="shared" si="6"/>
        <v>400</v>
      </c>
      <c r="I211" s="520">
        <f>+(1270+1375)/4</f>
        <v>661.25</v>
      </c>
      <c r="J211" s="514">
        <f t="shared" si="7"/>
        <v>1061.25</v>
      </c>
      <c r="K211" s="262"/>
      <c r="L211" s="267"/>
    </row>
    <row r="212" spans="1:12" ht="20.25" customHeight="1" x14ac:dyDescent="0.2">
      <c r="A212" s="114">
        <v>207</v>
      </c>
      <c r="B212" s="1" t="s">
        <v>457</v>
      </c>
      <c r="C212" s="6" t="s">
        <v>5195</v>
      </c>
      <c r="D212" s="7" t="s">
        <v>458</v>
      </c>
      <c r="E212" s="2" t="s">
        <v>454</v>
      </c>
      <c r="F212" s="99" t="s">
        <v>14</v>
      </c>
      <c r="G212" s="121">
        <v>100</v>
      </c>
      <c r="H212" s="122">
        <f t="shared" si="6"/>
        <v>400</v>
      </c>
      <c r="I212" s="520">
        <f>+(1270+1375)/4</f>
        <v>661.25</v>
      </c>
      <c r="J212" s="514">
        <f t="shared" si="7"/>
        <v>1061.25</v>
      </c>
      <c r="K212" s="262"/>
      <c r="L212" s="267"/>
    </row>
    <row r="213" spans="1:12" ht="20.25" customHeight="1" thickBot="1" x14ac:dyDescent="0.25">
      <c r="A213" s="158">
        <v>208</v>
      </c>
      <c r="B213" s="159" t="s">
        <v>459</v>
      </c>
      <c r="C213" s="160" t="s">
        <v>5196</v>
      </c>
      <c r="D213" s="161" t="s">
        <v>460</v>
      </c>
      <c r="E213" s="162" t="s">
        <v>454</v>
      </c>
      <c r="F213" s="163" t="s">
        <v>17</v>
      </c>
      <c r="G213" s="164">
        <v>50</v>
      </c>
      <c r="H213" s="153">
        <f t="shared" si="6"/>
        <v>450</v>
      </c>
      <c r="I213" s="521">
        <f>+(1270+1375)/4</f>
        <v>661.25</v>
      </c>
      <c r="J213" s="516">
        <f t="shared" si="7"/>
        <v>1111.25</v>
      </c>
      <c r="K213" s="277"/>
      <c r="L213" s="364"/>
    </row>
    <row r="214" spans="1:12" ht="20.25" customHeight="1" x14ac:dyDescent="0.2">
      <c r="A214" s="115">
        <v>209</v>
      </c>
      <c r="B214" s="64" t="s">
        <v>461</v>
      </c>
      <c r="C214" s="65" t="s">
        <v>5197</v>
      </c>
      <c r="D214" s="66" t="s">
        <v>462</v>
      </c>
      <c r="E214" s="67" t="s">
        <v>463</v>
      </c>
      <c r="F214" s="98" t="s">
        <v>8</v>
      </c>
      <c r="G214" s="123">
        <v>100</v>
      </c>
      <c r="H214" s="124">
        <f t="shared" si="6"/>
        <v>400</v>
      </c>
      <c r="I214" s="513">
        <f>+(0+715)/4</f>
        <v>178.75</v>
      </c>
      <c r="J214" s="517">
        <f t="shared" si="7"/>
        <v>578.75</v>
      </c>
      <c r="K214" s="264"/>
      <c r="L214" s="363"/>
    </row>
    <row r="215" spans="1:12" ht="20.25" customHeight="1" x14ac:dyDescent="0.2">
      <c r="A215" s="114">
        <v>210</v>
      </c>
      <c r="B215" s="1" t="s">
        <v>464</v>
      </c>
      <c r="C215" s="6" t="s">
        <v>5198</v>
      </c>
      <c r="D215" s="7" t="s">
        <v>465</v>
      </c>
      <c r="E215" s="2" t="s">
        <v>463</v>
      </c>
      <c r="F215" s="99" t="s">
        <v>11</v>
      </c>
      <c r="G215" s="121">
        <v>50</v>
      </c>
      <c r="H215" s="122">
        <f t="shared" si="6"/>
        <v>450</v>
      </c>
      <c r="I215" s="520">
        <f>+(0+715)/4</f>
        <v>178.75</v>
      </c>
      <c r="J215" s="514">
        <f t="shared" si="7"/>
        <v>628.75</v>
      </c>
      <c r="K215" s="262"/>
      <c r="L215" s="267"/>
    </row>
    <row r="216" spans="1:12" ht="20.25" customHeight="1" x14ac:dyDescent="0.2">
      <c r="A216" s="114">
        <v>211</v>
      </c>
      <c r="B216" s="1" t="s">
        <v>466</v>
      </c>
      <c r="C216" s="6" t="s">
        <v>5199</v>
      </c>
      <c r="D216" s="7" t="s">
        <v>467</v>
      </c>
      <c r="E216" s="2" t="s">
        <v>463</v>
      </c>
      <c r="F216" s="99" t="s">
        <v>14</v>
      </c>
      <c r="G216" s="121">
        <v>50</v>
      </c>
      <c r="H216" s="122">
        <f t="shared" si="6"/>
        <v>450</v>
      </c>
      <c r="I216" s="520">
        <f>+(0+715)/4</f>
        <v>178.75</v>
      </c>
      <c r="J216" s="514">
        <f t="shared" si="7"/>
        <v>628.75</v>
      </c>
      <c r="K216" s="262"/>
      <c r="L216" s="267"/>
    </row>
    <row r="217" spans="1:12" ht="20.25" customHeight="1" thickBot="1" x14ac:dyDescent="0.25">
      <c r="A217" s="117">
        <v>212</v>
      </c>
      <c r="B217" s="3" t="s">
        <v>468</v>
      </c>
      <c r="C217" s="8" t="s">
        <v>5200</v>
      </c>
      <c r="D217" s="9" t="s">
        <v>469</v>
      </c>
      <c r="E217" s="4" t="s">
        <v>463</v>
      </c>
      <c r="F217" s="101" t="s">
        <v>17</v>
      </c>
      <c r="G217" s="128">
        <v>50</v>
      </c>
      <c r="H217" s="157">
        <f t="shared" si="6"/>
        <v>450</v>
      </c>
      <c r="I217" s="522">
        <f>+(0+715)/4</f>
        <v>178.75</v>
      </c>
      <c r="J217" s="519">
        <f t="shared" si="7"/>
        <v>628.75</v>
      </c>
      <c r="K217" s="268"/>
      <c r="L217" s="269"/>
    </row>
    <row r="218" spans="1:12" ht="20.25" customHeight="1" x14ac:dyDescent="0.2">
      <c r="A218" s="108">
        <v>213</v>
      </c>
      <c r="B218" s="171" t="s">
        <v>470</v>
      </c>
      <c r="C218" s="110" t="s">
        <v>5201</v>
      </c>
      <c r="D218" s="111" t="s">
        <v>471</v>
      </c>
      <c r="E218" s="112" t="s">
        <v>472</v>
      </c>
      <c r="F218" s="113" t="s">
        <v>8</v>
      </c>
      <c r="G218" s="119">
        <v>50</v>
      </c>
      <c r="H218" s="120">
        <f t="shared" si="6"/>
        <v>450</v>
      </c>
      <c r="I218" s="511">
        <f>+(0+945)/3</f>
        <v>315</v>
      </c>
      <c r="J218" s="512">
        <f t="shared" si="7"/>
        <v>765</v>
      </c>
      <c r="K218" s="260"/>
      <c r="L218" s="365"/>
    </row>
    <row r="219" spans="1:12" ht="20.25" customHeight="1" x14ac:dyDescent="0.2">
      <c r="A219" s="114">
        <v>214</v>
      </c>
      <c r="B219" s="1" t="s">
        <v>473</v>
      </c>
      <c r="C219" s="6" t="s">
        <v>5066</v>
      </c>
      <c r="D219" s="7" t="s">
        <v>474</v>
      </c>
      <c r="E219" s="2" t="s">
        <v>472</v>
      </c>
      <c r="F219" s="99" t="s">
        <v>11</v>
      </c>
      <c r="G219" s="121">
        <v>50</v>
      </c>
      <c r="H219" s="122">
        <f t="shared" si="6"/>
        <v>450</v>
      </c>
      <c r="I219" s="520">
        <f>+(0+945)/3</f>
        <v>315</v>
      </c>
      <c r="J219" s="514">
        <f t="shared" si="7"/>
        <v>765</v>
      </c>
      <c r="K219" s="262"/>
      <c r="L219" s="267"/>
    </row>
    <row r="220" spans="1:12" ht="20.25" customHeight="1" x14ac:dyDescent="0.2">
      <c r="A220" s="114">
        <v>215</v>
      </c>
      <c r="B220" s="1" t="s">
        <v>475</v>
      </c>
      <c r="C220" s="6" t="s">
        <v>5202</v>
      </c>
      <c r="D220" s="7" t="s">
        <v>476</v>
      </c>
      <c r="E220" s="2" t="s">
        <v>472</v>
      </c>
      <c r="F220" s="99" t="s">
        <v>14</v>
      </c>
      <c r="G220" s="121">
        <v>50</v>
      </c>
      <c r="H220" s="122">
        <f t="shared" si="6"/>
        <v>450</v>
      </c>
      <c r="I220" s="520">
        <f>+(0+945)/3</f>
        <v>315</v>
      </c>
      <c r="J220" s="514">
        <f t="shared" si="7"/>
        <v>765</v>
      </c>
      <c r="K220" s="262"/>
      <c r="L220" s="267"/>
    </row>
    <row r="221" spans="1:12" ht="20.25" customHeight="1" thickBot="1" x14ac:dyDescent="0.25">
      <c r="A221" s="319">
        <v>216</v>
      </c>
      <c r="B221" s="226"/>
      <c r="C221" s="388" t="s">
        <v>4946</v>
      </c>
      <c r="D221" s="227"/>
      <c r="E221" s="183" t="s">
        <v>472</v>
      </c>
      <c r="F221" s="184" t="s">
        <v>17</v>
      </c>
      <c r="G221" s="228"/>
      <c r="H221" s="185"/>
      <c r="I221" s="529">
        <v>0</v>
      </c>
      <c r="J221" s="530">
        <f t="shared" si="7"/>
        <v>0</v>
      </c>
      <c r="K221" s="389" t="s">
        <v>4946</v>
      </c>
      <c r="L221" s="390"/>
    </row>
    <row r="222" spans="1:12" ht="20.25" customHeight="1" x14ac:dyDescent="0.2">
      <c r="A222" s="115">
        <v>217</v>
      </c>
      <c r="B222" s="64" t="s">
        <v>477</v>
      </c>
      <c r="C222" s="65" t="s">
        <v>5203</v>
      </c>
      <c r="D222" s="66" t="s">
        <v>478</v>
      </c>
      <c r="E222" s="67" t="s">
        <v>479</v>
      </c>
      <c r="F222" s="98" t="s">
        <v>8</v>
      </c>
      <c r="G222" s="123">
        <v>50</v>
      </c>
      <c r="H222" s="124">
        <f t="shared" si="6"/>
        <v>450</v>
      </c>
      <c r="I222" s="513">
        <f>+(510+830)/4</f>
        <v>335</v>
      </c>
      <c r="J222" s="517">
        <f t="shared" si="7"/>
        <v>785</v>
      </c>
      <c r="K222" s="264"/>
      <c r="L222" s="363"/>
    </row>
    <row r="223" spans="1:12" ht="20.25" customHeight="1" x14ac:dyDescent="0.2">
      <c r="A223" s="114">
        <v>218</v>
      </c>
      <c r="B223" s="1" t="s">
        <v>480</v>
      </c>
      <c r="C223" s="6" t="s">
        <v>5204</v>
      </c>
      <c r="D223" s="7" t="s">
        <v>481</v>
      </c>
      <c r="E223" s="2" t="s">
        <v>479</v>
      </c>
      <c r="F223" s="99" t="s">
        <v>11</v>
      </c>
      <c r="G223" s="121">
        <v>50</v>
      </c>
      <c r="H223" s="122">
        <f t="shared" si="6"/>
        <v>450</v>
      </c>
      <c r="I223" s="520">
        <f>+(510+830)/4</f>
        <v>335</v>
      </c>
      <c r="J223" s="514">
        <f t="shared" si="7"/>
        <v>785</v>
      </c>
      <c r="K223" s="262"/>
      <c r="L223" s="267"/>
    </row>
    <row r="224" spans="1:12" ht="20.25" customHeight="1" x14ac:dyDescent="0.2">
      <c r="A224" s="114">
        <v>219</v>
      </c>
      <c r="B224" s="1" t="s">
        <v>482</v>
      </c>
      <c r="C224" s="6" t="s">
        <v>5102</v>
      </c>
      <c r="D224" s="7" t="s">
        <v>483</v>
      </c>
      <c r="E224" s="2" t="s">
        <v>479</v>
      </c>
      <c r="F224" s="99" t="s">
        <v>14</v>
      </c>
      <c r="G224" s="121">
        <v>100</v>
      </c>
      <c r="H224" s="122">
        <f t="shared" si="6"/>
        <v>400</v>
      </c>
      <c r="I224" s="520">
        <f>+(510+830)/4</f>
        <v>335</v>
      </c>
      <c r="J224" s="514">
        <f t="shared" si="7"/>
        <v>735</v>
      </c>
      <c r="K224" s="262"/>
      <c r="L224" s="267"/>
    </row>
    <row r="225" spans="1:12" ht="20.25" customHeight="1" thickBot="1" x14ac:dyDescent="0.25">
      <c r="A225" s="117">
        <v>220</v>
      </c>
      <c r="B225" s="3" t="s">
        <v>484</v>
      </c>
      <c r="C225" s="8" t="s">
        <v>5205</v>
      </c>
      <c r="D225" s="9" t="s">
        <v>485</v>
      </c>
      <c r="E225" s="4" t="s">
        <v>479</v>
      </c>
      <c r="F225" s="101" t="s">
        <v>17</v>
      </c>
      <c r="G225" s="128">
        <v>150</v>
      </c>
      <c r="H225" s="157">
        <f t="shared" si="6"/>
        <v>350</v>
      </c>
      <c r="I225" s="522">
        <f>+(510+830)/4</f>
        <v>335</v>
      </c>
      <c r="J225" s="519">
        <f t="shared" si="7"/>
        <v>685</v>
      </c>
      <c r="K225" s="268"/>
      <c r="L225" s="269"/>
    </row>
    <row r="226" spans="1:12" ht="20.25" customHeight="1" x14ac:dyDescent="0.2">
      <c r="A226" s="108">
        <v>221</v>
      </c>
      <c r="B226" s="174" t="s">
        <v>486</v>
      </c>
      <c r="C226" s="175" t="s">
        <v>5206</v>
      </c>
      <c r="D226" s="176" t="s">
        <v>487</v>
      </c>
      <c r="E226" s="177" t="s">
        <v>488</v>
      </c>
      <c r="F226" s="178" t="s">
        <v>8</v>
      </c>
      <c r="G226" s="179">
        <v>100</v>
      </c>
      <c r="H226" s="120">
        <f t="shared" si="6"/>
        <v>400</v>
      </c>
      <c r="I226" s="511">
        <f>+(635+985)/4</f>
        <v>405</v>
      </c>
      <c r="J226" s="512">
        <f t="shared" si="7"/>
        <v>805</v>
      </c>
      <c r="K226" s="260"/>
      <c r="L226" s="365"/>
    </row>
    <row r="227" spans="1:12" ht="20.25" customHeight="1" x14ac:dyDescent="0.2">
      <c r="A227" s="114">
        <v>222</v>
      </c>
      <c r="B227" s="47" t="s">
        <v>4852</v>
      </c>
      <c r="C227" s="57" t="s">
        <v>5150</v>
      </c>
      <c r="D227" s="11" t="s">
        <v>4851</v>
      </c>
      <c r="E227" s="5" t="s">
        <v>488</v>
      </c>
      <c r="F227" s="100">
        <v>2</v>
      </c>
      <c r="G227" s="125">
        <v>150</v>
      </c>
      <c r="H227" s="122">
        <f t="shared" si="6"/>
        <v>350</v>
      </c>
      <c r="I227" s="520">
        <f>+(635+985)/4</f>
        <v>405</v>
      </c>
      <c r="J227" s="514">
        <f t="shared" si="7"/>
        <v>755</v>
      </c>
      <c r="K227" s="262"/>
      <c r="L227" s="267"/>
    </row>
    <row r="228" spans="1:12" ht="20.25" customHeight="1" x14ac:dyDescent="0.2">
      <c r="A228" s="114">
        <v>223</v>
      </c>
      <c r="B228" s="47" t="s">
        <v>489</v>
      </c>
      <c r="C228" s="10" t="s">
        <v>5194</v>
      </c>
      <c r="D228" s="11" t="s">
        <v>490</v>
      </c>
      <c r="E228" s="5" t="s">
        <v>488</v>
      </c>
      <c r="F228" s="100" t="s">
        <v>14</v>
      </c>
      <c r="G228" s="125">
        <v>100</v>
      </c>
      <c r="H228" s="122">
        <f t="shared" si="6"/>
        <v>400</v>
      </c>
      <c r="I228" s="520">
        <f>+(635+985)/4</f>
        <v>405</v>
      </c>
      <c r="J228" s="514">
        <f t="shared" si="7"/>
        <v>805</v>
      </c>
      <c r="K228" s="262"/>
      <c r="L228" s="267"/>
    </row>
    <row r="229" spans="1:12" ht="20.25" customHeight="1" thickBot="1" x14ac:dyDescent="0.25">
      <c r="A229" s="158">
        <v>224</v>
      </c>
      <c r="B229" s="192" t="s">
        <v>491</v>
      </c>
      <c r="C229" s="193" t="s">
        <v>5207</v>
      </c>
      <c r="D229" s="194" t="s">
        <v>492</v>
      </c>
      <c r="E229" s="195" t="s">
        <v>488</v>
      </c>
      <c r="F229" s="196" t="s">
        <v>17</v>
      </c>
      <c r="G229" s="197">
        <v>100</v>
      </c>
      <c r="H229" s="153">
        <f t="shared" si="6"/>
        <v>400</v>
      </c>
      <c r="I229" s="521">
        <f>+(635+985)/4</f>
        <v>405</v>
      </c>
      <c r="J229" s="516">
        <f t="shared" si="7"/>
        <v>805</v>
      </c>
      <c r="K229" s="277"/>
      <c r="L229" s="364"/>
    </row>
    <row r="230" spans="1:12" ht="20.25" customHeight="1" x14ac:dyDescent="0.2">
      <c r="A230" s="115">
        <v>225</v>
      </c>
      <c r="B230" s="61" t="s">
        <v>493</v>
      </c>
      <c r="C230" s="62" t="s">
        <v>5040</v>
      </c>
      <c r="D230" s="63" t="s">
        <v>494</v>
      </c>
      <c r="E230" s="12" t="s">
        <v>495</v>
      </c>
      <c r="F230" s="172" t="s">
        <v>8</v>
      </c>
      <c r="G230" s="173">
        <v>100</v>
      </c>
      <c r="H230" s="124">
        <f t="shared" si="6"/>
        <v>400</v>
      </c>
      <c r="I230" s="513">
        <f>+(-555+975)/4</f>
        <v>105</v>
      </c>
      <c r="J230" s="517">
        <f t="shared" si="7"/>
        <v>505</v>
      </c>
      <c r="K230" s="264"/>
      <c r="L230" s="363"/>
    </row>
    <row r="231" spans="1:12" ht="20.25" customHeight="1" x14ac:dyDescent="0.2">
      <c r="A231" s="114">
        <v>226</v>
      </c>
      <c r="B231" s="47" t="s">
        <v>4853</v>
      </c>
      <c r="C231" s="10" t="s">
        <v>5208</v>
      </c>
      <c r="D231" s="11" t="s">
        <v>4854</v>
      </c>
      <c r="E231" s="5" t="s">
        <v>495</v>
      </c>
      <c r="F231" s="100">
        <v>2</v>
      </c>
      <c r="G231" s="125">
        <v>150</v>
      </c>
      <c r="H231" s="122">
        <f t="shared" si="6"/>
        <v>350</v>
      </c>
      <c r="I231" s="520">
        <f>+(-555+975)/4</f>
        <v>105</v>
      </c>
      <c r="J231" s="514">
        <f t="shared" si="7"/>
        <v>455</v>
      </c>
      <c r="K231" s="262"/>
      <c r="L231" s="267"/>
    </row>
    <row r="232" spans="1:12" ht="20.25" customHeight="1" x14ac:dyDescent="0.2">
      <c r="A232" s="114">
        <v>227</v>
      </c>
      <c r="B232" s="47" t="s">
        <v>496</v>
      </c>
      <c r="C232" s="10" t="s">
        <v>5172</v>
      </c>
      <c r="D232" s="11" t="s">
        <v>497</v>
      </c>
      <c r="E232" s="5" t="s">
        <v>495</v>
      </c>
      <c r="F232" s="100" t="s">
        <v>14</v>
      </c>
      <c r="G232" s="125">
        <v>100</v>
      </c>
      <c r="H232" s="122">
        <f t="shared" si="6"/>
        <v>400</v>
      </c>
      <c r="I232" s="520">
        <f>+(-555+975)/4</f>
        <v>105</v>
      </c>
      <c r="J232" s="514">
        <f t="shared" si="7"/>
        <v>505</v>
      </c>
      <c r="K232" s="262"/>
      <c r="L232" s="267"/>
    </row>
    <row r="233" spans="1:12" ht="20.25" customHeight="1" thickBot="1" x14ac:dyDescent="0.25">
      <c r="A233" s="117">
        <v>228</v>
      </c>
      <c r="B233" s="357" t="s">
        <v>498</v>
      </c>
      <c r="C233" s="358" t="s">
        <v>5209</v>
      </c>
      <c r="D233" s="359" t="s">
        <v>499</v>
      </c>
      <c r="E233" s="360" t="s">
        <v>495</v>
      </c>
      <c r="F233" s="361" t="s">
        <v>17</v>
      </c>
      <c r="G233" s="362">
        <v>50</v>
      </c>
      <c r="H233" s="157">
        <f t="shared" si="6"/>
        <v>450</v>
      </c>
      <c r="I233" s="522">
        <f>+(-555+975)/4</f>
        <v>105</v>
      </c>
      <c r="J233" s="519">
        <f t="shared" si="7"/>
        <v>555</v>
      </c>
      <c r="K233" s="268"/>
      <c r="L233" s="269"/>
    </row>
    <row r="234" spans="1:12" ht="20.25" customHeight="1" x14ac:dyDescent="0.2">
      <c r="A234" s="108">
        <v>229</v>
      </c>
      <c r="B234" s="171" t="s">
        <v>500</v>
      </c>
      <c r="C234" s="110" t="s">
        <v>5210</v>
      </c>
      <c r="D234" s="111" t="s">
        <v>501</v>
      </c>
      <c r="E234" s="112" t="s">
        <v>502</v>
      </c>
      <c r="F234" s="113" t="s">
        <v>8</v>
      </c>
      <c r="G234" s="119">
        <v>150</v>
      </c>
      <c r="H234" s="120">
        <f t="shared" si="6"/>
        <v>350</v>
      </c>
      <c r="I234" s="511">
        <f>+(290+1360)/4</f>
        <v>412.5</v>
      </c>
      <c r="J234" s="512">
        <f t="shared" si="7"/>
        <v>762.5</v>
      </c>
      <c r="K234" s="260"/>
      <c r="L234" s="365"/>
    </row>
    <row r="235" spans="1:12" ht="20.25" customHeight="1" x14ac:dyDescent="0.2">
      <c r="A235" s="114">
        <v>230</v>
      </c>
      <c r="B235" s="1" t="s">
        <v>503</v>
      </c>
      <c r="C235" s="6" t="s">
        <v>5202</v>
      </c>
      <c r="D235" s="7" t="s">
        <v>504</v>
      </c>
      <c r="E235" s="2" t="s">
        <v>502</v>
      </c>
      <c r="F235" s="99" t="s">
        <v>11</v>
      </c>
      <c r="G235" s="121">
        <v>100</v>
      </c>
      <c r="H235" s="122">
        <f t="shared" si="6"/>
        <v>400</v>
      </c>
      <c r="I235" s="520">
        <f>+(290+1360)/4</f>
        <v>412.5</v>
      </c>
      <c r="J235" s="514">
        <f t="shared" si="7"/>
        <v>812.5</v>
      </c>
      <c r="K235" s="262"/>
      <c r="L235" s="267"/>
    </row>
    <row r="236" spans="1:12" ht="20.25" customHeight="1" x14ac:dyDescent="0.2">
      <c r="A236" s="114">
        <v>231</v>
      </c>
      <c r="B236" s="1" t="s">
        <v>505</v>
      </c>
      <c r="C236" s="6" t="s">
        <v>5211</v>
      </c>
      <c r="D236" s="7" t="s">
        <v>506</v>
      </c>
      <c r="E236" s="2" t="s">
        <v>502</v>
      </c>
      <c r="F236" s="99" t="s">
        <v>14</v>
      </c>
      <c r="G236" s="121">
        <v>100</v>
      </c>
      <c r="H236" s="122">
        <f t="shared" si="6"/>
        <v>400</v>
      </c>
      <c r="I236" s="520">
        <f>+(290+1360)/4</f>
        <v>412.5</v>
      </c>
      <c r="J236" s="514">
        <f t="shared" si="7"/>
        <v>812.5</v>
      </c>
      <c r="K236" s="262"/>
      <c r="L236" s="267"/>
    </row>
    <row r="237" spans="1:12" ht="20.25" customHeight="1" thickBot="1" x14ac:dyDescent="0.25">
      <c r="A237" s="158">
        <v>232</v>
      </c>
      <c r="B237" s="159" t="s">
        <v>507</v>
      </c>
      <c r="C237" s="160" t="s">
        <v>5212</v>
      </c>
      <c r="D237" s="161" t="s">
        <v>508</v>
      </c>
      <c r="E237" s="162" t="s">
        <v>502</v>
      </c>
      <c r="F237" s="163" t="s">
        <v>17</v>
      </c>
      <c r="G237" s="164">
        <v>150</v>
      </c>
      <c r="H237" s="153">
        <f t="shared" si="6"/>
        <v>350</v>
      </c>
      <c r="I237" s="521">
        <f>+(290+1360)/4</f>
        <v>412.5</v>
      </c>
      <c r="J237" s="516">
        <f t="shared" si="7"/>
        <v>762.5</v>
      </c>
      <c r="K237" s="277"/>
      <c r="L237" s="364"/>
    </row>
    <row r="238" spans="1:12" ht="20.25" customHeight="1" x14ac:dyDescent="0.2">
      <c r="A238" s="115">
        <v>233</v>
      </c>
      <c r="B238" s="64" t="s">
        <v>509</v>
      </c>
      <c r="C238" s="65" t="s">
        <v>5208</v>
      </c>
      <c r="D238" s="66" t="s">
        <v>510</v>
      </c>
      <c r="E238" s="67" t="s">
        <v>511</v>
      </c>
      <c r="F238" s="98" t="s">
        <v>8</v>
      </c>
      <c r="G238" s="123">
        <v>100</v>
      </c>
      <c r="H238" s="124">
        <f t="shared" si="6"/>
        <v>400</v>
      </c>
      <c r="I238" s="513">
        <f>+(230+1045)/4</f>
        <v>318.75</v>
      </c>
      <c r="J238" s="517">
        <f t="shared" si="7"/>
        <v>718.75</v>
      </c>
      <c r="K238" s="264"/>
      <c r="L238" s="363"/>
    </row>
    <row r="239" spans="1:12" ht="20.25" customHeight="1" x14ac:dyDescent="0.2">
      <c r="A239" s="114">
        <v>234</v>
      </c>
      <c r="B239" s="1" t="s">
        <v>512</v>
      </c>
      <c r="C239" s="6" t="s">
        <v>5213</v>
      </c>
      <c r="D239" s="7" t="s">
        <v>513</v>
      </c>
      <c r="E239" s="2" t="s">
        <v>511</v>
      </c>
      <c r="F239" s="99" t="s">
        <v>11</v>
      </c>
      <c r="G239" s="121">
        <v>50</v>
      </c>
      <c r="H239" s="122">
        <f t="shared" si="6"/>
        <v>450</v>
      </c>
      <c r="I239" s="520">
        <f>+(230+1045)/4</f>
        <v>318.75</v>
      </c>
      <c r="J239" s="514">
        <f t="shared" si="7"/>
        <v>768.75</v>
      </c>
      <c r="K239" s="262"/>
      <c r="L239" s="267"/>
    </row>
    <row r="240" spans="1:12" ht="20.25" customHeight="1" x14ac:dyDescent="0.2">
      <c r="A240" s="114">
        <v>235</v>
      </c>
      <c r="B240" s="1" t="s">
        <v>514</v>
      </c>
      <c r="C240" s="6" t="s">
        <v>5214</v>
      </c>
      <c r="D240" s="7" t="s">
        <v>515</v>
      </c>
      <c r="E240" s="2" t="s">
        <v>511</v>
      </c>
      <c r="F240" s="99" t="s">
        <v>14</v>
      </c>
      <c r="G240" s="121">
        <v>100</v>
      </c>
      <c r="H240" s="122">
        <f t="shared" si="6"/>
        <v>400</v>
      </c>
      <c r="I240" s="520">
        <f>+(230+1045)/4</f>
        <v>318.75</v>
      </c>
      <c r="J240" s="514">
        <f t="shared" si="7"/>
        <v>718.75</v>
      </c>
      <c r="K240" s="262"/>
      <c r="L240" s="267"/>
    </row>
    <row r="241" spans="1:12" ht="20.25" customHeight="1" thickBot="1" x14ac:dyDescent="0.25">
      <c r="A241" s="117">
        <v>236</v>
      </c>
      <c r="B241" s="3" t="s">
        <v>516</v>
      </c>
      <c r="C241" s="8" t="s">
        <v>5215</v>
      </c>
      <c r="D241" s="9" t="s">
        <v>517</v>
      </c>
      <c r="E241" s="4" t="s">
        <v>511</v>
      </c>
      <c r="F241" s="101" t="s">
        <v>17</v>
      </c>
      <c r="G241" s="128">
        <v>100</v>
      </c>
      <c r="H241" s="157">
        <f t="shared" si="6"/>
        <v>400</v>
      </c>
      <c r="I241" s="522">
        <f>+(230+1045)/4</f>
        <v>318.75</v>
      </c>
      <c r="J241" s="519">
        <f t="shared" si="7"/>
        <v>718.75</v>
      </c>
      <c r="K241" s="268"/>
      <c r="L241" s="269"/>
    </row>
    <row r="242" spans="1:12" ht="20.25" customHeight="1" x14ac:dyDescent="0.2">
      <c r="A242" s="108">
        <v>237</v>
      </c>
      <c r="B242" s="174" t="s">
        <v>518</v>
      </c>
      <c r="C242" s="175" t="s">
        <v>5216</v>
      </c>
      <c r="D242" s="176" t="s">
        <v>519</v>
      </c>
      <c r="E242" s="177" t="s">
        <v>520</v>
      </c>
      <c r="F242" s="178" t="s">
        <v>8</v>
      </c>
      <c r="G242" s="179">
        <v>150</v>
      </c>
      <c r="H242" s="120">
        <f t="shared" si="6"/>
        <v>350</v>
      </c>
      <c r="I242" s="511">
        <f>+(385+830)/4</f>
        <v>303.75</v>
      </c>
      <c r="J242" s="512">
        <f t="shared" si="7"/>
        <v>653.75</v>
      </c>
      <c r="K242" s="260"/>
      <c r="L242" s="365"/>
    </row>
    <row r="243" spans="1:12" ht="20.25" customHeight="1" x14ac:dyDescent="0.2">
      <c r="A243" s="114">
        <v>238</v>
      </c>
      <c r="B243" s="47" t="s">
        <v>521</v>
      </c>
      <c r="C243" s="10" t="s">
        <v>5217</v>
      </c>
      <c r="D243" s="11" t="s">
        <v>522</v>
      </c>
      <c r="E243" s="5" t="s">
        <v>520</v>
      </c>
      <c r="F243" s="100" t="s">
        <v>11</v>
      </c>
      <c r="G243" s="125">
        <v>150</v>
      </c>
      <c r="H243" s="122">
        <f t="shared" si="6"/>
        <v>350</v>
      </c>
      <c r="I243" s="520">
        <f>+(385+830)/4</f>
        <v>303.75</v>
      </c>
      <c r="J243" s="514">
        <f t="shared" si="7"/>
        <v>653.75</v>
      </c>
      <c r="K243" s="262"/>
      <c r="L243" s="267"/>
    </row>
    <row r="244" spans="1:12" ht="20.25" customHeight="1" x14ac:dyDescent="0.2">
      <c r="A244" s="114">
        <v>239</v>
      </c>
      <c r="B244" s="47" t="s">
        <v>523</v>
      </c>
      <c r="C244" s="10" t="s">
        <v>5218</v>
      </c>
      <c r="D244" s="11" t="s">
        <v>524</v>
      </c>
      <c r="E244" s="5" t="s">
        <v>520</v>
      </c>
      <c r="F244" s="100" t="s">
        <v>14</v>
      </c>
      <c r="G244" s="125">
        <v>150</v>
      </c>
      <c r="H244" s="122">
        <f t="shared" si="6"/>
        <v>350</v>
      </c>
      <c r="I244" s="520">
        <f>+(385+830)/4</f>
        <v>303.75</v>
      </c>
      <c r="J244" s="514">
        <f t="shared" si="7"/>
        <v>653.75</v>
      </c>
      <c r="K244" s="262"/>
      <c r="L244" s="267"/>
    </row>
    <row r="245" spans="1:12" ht="20.25" customHeight="1" thickBot="1" x14ac:dyDescent="0.25">
      <c r="A245" s="158">
        <v>240</v>
      </c>
      <c r="B245" s="192" t="s">
        <v>525</v>
      </c>
      <c r="C245" s="193" t="s">
        <v>5219</v>
      </c>
      <c r="D245" s="194" t="s">
        <v>526</v>
      </c>
      <c r="E245" s="195" t="s">
        <v>520</v>
      </c>
      <c r="F245" s="196" t="s">
        <v>17</v>
      </c>
      <c r="G245" s="197">
        <v>150</v>
      </c>
      <c r="H245" s="153">
        <f t="shared" si="6"/>
        <v>350</v>
      </c>
      <c r="I245" s="521">
        <f>+(385+830)/4</f>
        <v>303.75</v>
      </c>
      <c r="J245" s="516">
        <f t="shared" si="7"/>
        <v>653.75</v>
      </c>
      <c r="K245" s="277"/>
      <c r="L245" s="364"/>
    </row>
    <row r="246" spans="1:12" ht="20.25" customHeight="1" x14ac:dyDescent="0.2">
      <c r="A246" s="115">
        <v>241</v>
      </c>
      <c r="B246" s="64" t="s">
        <v>527</v>
      </c>
      <c r="C246" s="65" t="s">
        <v>5220</v>
      </c>
      <c r="D246" s="66" t="s">
        <v>528</v>
      </c>
      <c r="E246" s="67" t="s">
        <v>529</v>
      </c>
      <c r="F246" s="98" t="s">
        <v>8</v>
      </c>
      <c r="G246" s="123">
        <v>50</v>
      </c>
      <c r="H246" s="124">
        <f t="shared" si="6"/>
        <v>450</v>
      </c>
      <c r="I246" s="513">
        <f>+(780+1045)/4</f>
        <v>456.25</v>
      </c>
      <c r="J246" s="517">
        <f t="shared" si="7"/>
        <v>906.25</v>
      </c>
      <c r="K246" s="264"/>
      <c r="L246" s="363"/>
    </row>
    <row r="247" spans="1:12" ht="20.25" customHeight="1" x14ac:dyDescent="0.2">
      <c r="A247" s="114">
        <v>242</v>
      </c>
      <c r="B247" s="1" t="s">
        <v>530</v>
      </c>
      <c r="C247" s="6" t="s">
        <v>5187</v>
      </c>
      <c r="D247" s="7" t="s">
        <v>531</v>
      </c>
      <c r="E247" s="2" t="s">
        <v>529</v>
      </c>
      <c r="F247" s="99" t="s">
        <v>11</v>
      </c>
      <c r="G247" s="121">
        <v>100</v>
      </c>
      <c r="H247" s="122">
        <f t="shared" si="6"/>
        <v>400</v>
      </c>
      <c r="I247" s="520">
        <f>+(780+1045)/4</f>
        <v>456.25</v>
      </c>
      <c r="J247" s="514">
        <f t="shared" si="7"/>
        <v>856.25</v>
      </c>
      <c r="K247" s="262"/>
      <c r="L247" s="267"/>
    </row>
    <row r="248" spans="1:12" ht="20.25" customHeight="1" x14ac:dyDescent="0.2">
      <c r="A248" s="114">
        <v>243</v>
      </c>
      <c r="B248" s="1" t="s">
        <v>532</v>
      </c>
      <c r="C248" s="6" t="s">
        <v>5102</v>
      </c>
      <c r="D248" s="7" t="s">
        <v>533</v>
      </c>
      <c r="E248" s="2" t="s">
        <v>529</v>
      </c>
      <c r="F248" s="99" t="s">
        <v>14</v>
      </c>
      <c r="G248" s="121">
        <v>100</v>
      </c>
      <c r="H248" s="122">
        <f t="shared" si="6"/>
        <v>400</v>
      </c>
      <c r="I248" s="520">
        <f>+(780+1045)/4</f>
        <v>456.25</v>
      </c>
      <c r="J248" s="514">
        <f t="shared" si="7"/>
        <v>856.25</v>
      </c>
      <c r="K248" s="262"/>
      <c r="L248" s="267"/>
    </row>
    <row r="249" spans="1:12" ht="20.25" customHeight="1" thickBot="1" x14ac:dyDescent="0.25">
      <c r="A249" s="117">
        <v>244</v>
      </c>
      <c r="B249" s="3" t="s">
        <v>534</v>
      </c>
      <c r="C249" s="8" t="s">
        <v>5221</v>
      </c>
      <c r="D249" s="9" t="s">
        <v>535</v>
      </c>
      <c r="E249" s="4" t="s">
        <v>529</v>
      </c>
      <c r="F249" s="101" t="s">
        <v>17</v>
      </c>
      <c r="G249" s="128">
        <v>100</v>
      </c>
      <c r="H249" s="157">
        <f t="shared" si="6"/>
        <v>400</v>
      </c>
      <c r="I249" s="522">
        <f>+(780+1045)/4</f>
        <v>456.25</v>
      </c>
      <c r="J249" s="519">
        <f t="shared" si="7"/>
        <v>856.25</v>
      </c>
      <c r="K249" s="268"/>
      <c r="L249" s="269"/>
    </row>
    <row r="250" spans="1:12" ht="20.25" customHeight="1" x14ac:dyDescent="0.2">
      <c r="A250" s="108">
        <v>245</v>
      </c>
      <c r="B250" s="171" t="s">
        <v>536</v>
      </c>
      <c r="C250" s="110" t="s">
        <v>5162</v>
      </c>
      <c r="D250" s="111" t="s">
        <v>537</v>
      </c>
      <c r="E250" s="112" t="s">
        <v>538</v>
      </c>
      <c r="F250" s="113" t="s">
        <v>8</v>
      </c>
      <c r="G250" s="119">
        <v>50</v>
      </c>
      <c r="H250" s="120">
        <f t="shared" si="6"/>
        <v>450</v>
      </c>
      <c r="I250" s="511">
        <f>+(335+780)/4</f>
        <v>278.75</v>
      </c>
      <c r="J250" s="512">
        <f t="shared" si="7"/>
        <v>728.75</v>
      </c>
      <c r="K250" s="260"/>
      <c r="L250" s="365"/>
    </row>
    <row r="251" spans="1:12" ht="20.25" customHeight="1" x14ac:dyDescent="0.2">
      <c r="A251" s="114">
        <v>246</v>
      </c>
      <c r="B251" s="1" t="s">
        <v>539</v>
      </c>
      <c r="C251" s="6" t="s">
        <v>5012</v>
      </c>
      <c r="D251" s="7" t="s">
        <v>540</v>
      </c>
      <c r="E251" s="2" t="s">
        <v>538</v>
      </c>
      <c r="F251" s="99" t="s">
        <v>11</v>
      </c>
      <c r="G251" s="121">
        <v>50</v>
      </c>
      <c r="H251" s="122">
        <f t="shared" si="6"/>
        <v>450</v>
      </c>
      <c r="I251" s="520">
        <f>+(335+780)/4</f>
        <v>278.75</v>
      </c>
      <c r="J251" s="514">
        <f t="shared" si="7"/>
        <v>728.75</v>
      </c>
      <c r="K251" s="262"/>
      <c r="L251" s="267"/>
    </row>
    <row r="252" spans="1:12" ht="20.25" customHeight="1" x14ac:dyDescent="0.2">
      <c r="A252" s="114">
        <v>247</v>
      </c>
      <c r="B252" s="1" t="s">
        <v>541</v>
      </c>
      <c r="C252" s="6" t="s">
        <v>5222</v>
      </c>
      <c r="D252" s="7" t="s">
        <v>542</v>
      </c>
      <c r="E252" s="2" t="s">
        <v>538</v>
      </c>
      <c r="F252" s="99" t="s">
        <v>14</v>
      </c>
      <c r="G252" s="121">
        <v>50</v>
      </c>
      <c r="H252" s="122">
        <f t="shared" si="6"/>
        <v>450</v>
      </c>
      <c r="I252" s="520">
        <f>+(335+780)/4</f>
        <v>278.75</v>
      </c>
      <c r="J252" s="514">
        <f t="shared" si="7"/>
        <v>728.75</v>
      </c>
      <c r="K252" s="262"/>
      <c r="L252" s="267"/>
    </row>
    <row r="253" spans="1:12" ht="20.25" customHeight="1" thickBot="1" x14ac:dyDescent="0.25">
      <c r="A253" s="391">
        <v>248</v>
      </c>
      <c r="B253" s="392" t="s">
        <v>543</v>
      </c>
      <c r="C253" s="393" t="s">
        <v>5162</v>
      </c>
      <c r="D253" s="394" t="s">
        <v>544</v>
      </c>
      <c r="E253" s="395" t="s">
        <v>538</v>
      </c>
      <c r="F253" s="396" t="s">
        <v>17</v>
      </c>
      <c r="G253" s="397">
        <v>50</v>
      </c>
      <c r="H253" s="398">
        <f t="shared" si="6"/>
        <v>450</v>
      </c>
      <c r="I253" s="531">
        <f>+(335+780)/4</f>
        <v>278.75</v>
      </c>
      <c r="J253" s="532">
        <f t="shared" si="7"/>
        <v>728.75</v>
      </c>
      <c r="K253" s="399" t="s">
        <v>4999</v>
      </c>
      <c r="L253" s="400">
        <v>2100</v>
      </c>
    </row>
    <row r="254" spans="1:12" ht="20.25" customHeight="1" x14ac:dyDescent="0.2">
      <c r="A254" s="115">
        <v>249</v>
      </c>
      <c r="B254" s="64" t="s">
        <v>545</v>
      </c>
      <c r="C254" s="65" t="s">
        <v>5223</v>
      </c>
      <c r="D254" s="66" t="s">
        <v>546</v>
      </c>
      <c r="E254" s="67" t="s">
        <v>547</v>
      </c>
      <c r="F254" s="98" t="s">
        <v>8</v>
      </c>
      <c r="G254" s="123">
        <v>50</v>
      </c>
      <c r="H254" s="124">
        <f t="shared" si="6"/>
        <v>450</v>
      </c>
      <c r="I254" s="513">
        <f>+(1115+1565)/4</f>
        <v>670</v>
      </c>
      <c r="J254" s="517">
        <f t="shared" si="7"/>
        <v>1120</v>
      </c>
      <c r="K254" s="264"/>
      <c r="L254" s="363"/>
    </row>
    <row r="255" spans="1:12" ht="20.25" customHeight="1" x14ac:dyDescent="0.2">
      <c r="A255" s="114">
        <v>250</v>
      </c>
      <c r="B255" s="90" t="s">
        <v>548</v>
      </c>
      <c r="C255" s="91" t="s">
        <v>5224</v>
      </c>
      <c r="D255" s="92" t="s">
        <v>549</v>
      </c>
      <c r="E255" s="93" t="s">
        <v>547</v>
      </c>
      <c r="F255" s="104" t="s">
        <v>11</v>
      </c>
      <c r="G255" s="135">
        <v>50</v>
      </c>
      <c r="H255" s="136">
        <f t="shared" si="6"/>
        <v>450</v>
      </c>
      <c r="I255" s="533">
        <f>+(1115+1565)/4</f>
        <v>670</v>
      </c>
      <c r="J255" s="514">
        <f t="shared" si="7"/>
        <v>1120</v>
      </c>
      <c r="K255" s="270"/>
      <c r="L255" s="267"/>
    </row>
    <row r="256" spans="1:12" ht="20.25" customHeight="1" x14ac:dyDescent="0.2">
      <c r="A256" s="114">
        <v>251</v>
      </c>
      <c r="B256" s="1" t="s">
        <v>550</v>
      </c>
      <c r="C256" s="6" t="s">
        <v>5178</v>
      </c>
      <c r="D256" s="7" t="s">
        <v>551</v>
      </c>
      <c r="E256" s="2" t="s">
        <v>547</v>
      </c>
      <c r="F256" s="99" t="s">
        <v>14</v>
      </c>
      <c r="G256" s="121">
        <v>50</v>
      </c>
      <c r="H256" s="122">
        <f t="shared" si="6"/>
        <v>450</v>
      </c>
      <c r="I256" s="520">
        <f>+(1115+1565)/4</f>
        <v>670</v>
      </c>
      <c r="J256" s="514">
        <f t="shared" si="7"/>
        <v>1120</v>
      </c>
      <c r="K256" s="262"/>
      <c r="L256" s="267"/>
    </row>
    <row r="257" spans="1:12" ht="20.25" customHeight="1" thickBot="1" x14ac:dyDescent="0.25">
      <c r="A257" s="117">
        <v>252</v>
      </c>
      <c r="B257" s="3" t="s">
        <v>552</v>
      </c>
      <c r="C257" s="8" t="s">
        <v>5225</v>
      </c>
      <c r="D257" s="9" t="s">
        <v>553</v>
      </c>
      <c r="E257" s="4" t="s">
        <v>547</v>
      </c>
      <c r="F257" s="101">
        <v>4</v>
      </c>
      <c r="G257" s="128">
        <v>50</v>
      </c>
      <c r="H257" s="157">
        <f t="shared" si="6"/>
        <v>450</v>
      </c>
      <c r="I257" s="522">
        <f>+(1115+1565)/4</f>
        <v>670</v>
      </c>
      <c r="J257" s="519">
        <f t="shared" si="7"/>
        <v>1120</v>
      </c>
      <c r="K257" s="268"/>
      <c r="L257" s="269"/>
    </row>
    <row r="258" spans="1:12" ht="20.25" customHeight="1" x14ac:dyDescent="0.2">
      <c r="A258" s="108">
        <v>253</v>
      </c>
      <c r="B258" s="171" t="s">
        <v>554</v>
      </c>
      <c r="C258" s="110" t="s">
        <v>5226</v>
      </c>
      <c r="D258" s="111" t="s">
        <v>221</v>
      </c>
      <c r="E258" s="112" t="s">
        <v>555</v>
      </c>
      <c r="F258" s="113" t="s">
        <v>8</v>
      </c>
      <c r="G258" s="119">
        <v>100</v>
      </c>
      <c r="H258" s="120">
        <f t="shared" si="6"/>
        <v>400</v>
      </c>
      <c r="I258" s="511">
        <f>+(645+805)/4</f>
        <v>362.5</v>
      </c>
      <c r="J258" s="512">
        <f t="shared" si="7"/>
        <v>762.5</v>
      </c>
      <c r="K258" s="260"/>
      <c r="L258" s="365"/>
    </row>
    <row r="259" spans="1:12" ht="20.25" customHeight="1" x14ac:dyDescent="0.2">
      <c r="A259" s="114">
        <v>254</v>
      </c>
      <c r="B259" s="1" t="s">
        <v>556</v>
      </c>
      <c r="C259" s="6" t="s">
        <v>5215</v>
      </c>
      <c r="D259" s="7" t="s">
        <v>557</v>
      </c>
      <c r="E259" s="2" t="s">
        <v>555</v>
      </c>
      <c r="F259" s="99" t="s">
        <v>11</v>
      </c>
      <c r="G259" s="121">
        <v>100</v>
      </c>
      <c r="H259" s="122">
        <f t="shared" si="6"/>
        <v>400</v>
      </c>
      <c r="I259" s="520">
        <f>+(645+805)/4</f>
        <v>362.5</v>
      </c>
      <c r="J259" s="514">
        <f t="shared" si="7"/>
        <v>762.5</v>
      </c>
      <c r="K259" s="262"/>
      <c r="L259" s="267"/>
    </row>
    <row r="260" spans="1:12" ht="20.25" customHeight="1" x14ac:dyDescent="0.2">
      <c r="A260" s="114">
        <v>255</v>
      </c>
      <c r="B260" s="1" t="s">
        <v>558</v>
      </c>
      <c r="C260" s="6" t="s">
        <v>5227</v>
      </c>
      <c r="D260" s="7" t="s">
        <v>559</v>
      </c>
      <c r="E260" s="2" t="s">
        <v>555</v>
      </c>
      <c r="F260" s="99" t="s">
        <v>14</v>
      </c>
      <c r="G260" s="121">
        <v>100</v>
      </c>
      <c r="H260" s="122">
        <f t="shared" si="6"/>
        <v>400</v>
      </c>
      <c r="I260" s="520">
        <f>+(645+805)/4</f>
        <v>362.5</v>
      </c>
      <c r="J260" s="514">
        <f t="shared" si="7"/>
        <v>762.5</v>
      </c>
      <c r="K260" s="262"/>
      <c r="L260" s="267"/>
    </row>
    <row r="261" spans="1:12" ht="20.25" customHeight="1" thickBot="1" x14ac:dyDescent="0.25">
      <c r="A261" s="158">
        <v>256</v>
      </c>
      <c r="B261" s="159" t="s">
        <v>560</v>
      </c>
      <c r="C261" s="160" t="s">
        <v>5056</v>
      </c>
      <c r="D261" s="161" t="s">
        <v>561</v>
      </c>
      <c r="E261" s="162" t="s">
        <v>555</v>
      </c>
      <c r="F261" s="163" t="s">
        <v>17</v>
      </c>
      <c r="G261" s="164">
        <v>100</v>
      </c>
      <c r="H261" s="153">
        <f t="shared" si="6"/>
        <v>400</v>
      </c>
      <c r="I261" s="521">
        <f>+(645+805)/4</f>
        <v>362.5</v>
      </c>
      <c r="J261" s="516">
        <f t="shared" si="7"/>
        <v>762.5</v>
      </c>
      <c r="K261" s="277"/>
      <c r="L261" s="364"/>
    </row>
    <row r="262" spans="1:12" ht="20.25" customHeight="1" x14ac:dyDescent="0.2">
      <c r="A262" s="115">
        <v>257</v>
      </c>
      <c r="B262" s="64" t="s">
        <v>562</v>
      </c>
      <c r="C262" s="65" t="s">
        <v>5228</v>
      </c>
      <c r="D262" s="66" t="s">
        <v>563</v>
      </c>
      <c r="E262" s="67" t="s">
        <v>564</v>
      </c>
      <c r="F262" s="98" t="s">
        <v>8</v>
      </c>
      <c r="G262" s="123">
        <v>100</v>
      </c>
      <c r="H262" s="124">
        <f t="shared" si="6"/>
        <v>400</v>
      </c>
      <c r="I262" s="513">
        <f>+(35+700)/4</f>
        <v>183.75</v>
      </c>
      <c r="J262" s="517">
        <f t="shared" si="7"/>
        <v>583.75</v>
      </c>
      <c r="K262" s="264"/>
      <c r="L262" s="363"/>
    </row>
    <row r="263" spans="1:12" ht="20.25" customHeight="1" x14ac:dyDescent="0.2">
      <c r="A263" s="114">
        <v>258</v>
      </c>
      <c r="B263" s="1" t="s">
        <v>565</v>
      </c>
      <c r="C263" s="6" t="s">
        <v>5229</v>
      </c>
      <c r="D263" s="7" t="s">
        <v>566</v>
      </c>
      <c r="E263" s="2" t="s">
        <v>564</v>
      </c>
      <c r="F263" s="99" t="s">
        <v>11</v>
      </c>
      <c r="G263" s="121">
        <v>50</v>
      </c>
      <c r="H263" s="122">
        <f t="shared" ref="H263:H326" si="8">500-G263</f>
        <v>450</v>
      </c>
      <c r="I263" s="520">
        <f>+(35+700)/4</f>
        <v>183.75</v>
      </c>
      <c r="J263" s="514">
        <f t="shared" si="7"/>
        <v>633.75</v>
      </c>
      <c r="K263" s="262"/>
      <c r="L263" s="267"/>
    </row>
    <row r="264" spans="1:12" ht="20.25" customHeight="1" x14ac:dyDescent="0.2">
      <c r="A264" s="114">
        <v>259</v>
      </c>
      <c r="B264" s="1" t="s">
        <v>567</v>
      </c>
      <c r="C264" s="6" t="s">
        <v>5230</v>
      </c>
      <c r="D264" s="7" t="s">
        <v>568</v>
      </c>
      <c r="E264" s="2" t="s">
        <v>564</v>
      </c>
      <c r="F264" s="99" t="s">
        <v>14</v>
      </c>
      <c r="G264" s="121">
        <v>350</v>
      </c>
      <c r="H264" s="122">
        <f t="shared" si="8"/>
        <v>150</v>
      </c>
      <c r="I264" s="520">
        <f>+(35+700)/4</f>
        <v>183.75</v>
      </c>
      <c r="J264" s="514">
        <f t="shared" ref="J264:J327" si="9">SUM(H264:I264)</f>
        <v>333.75</v>
      </c>
      <c r="K264" s="262"/>
      <c r="L264" s="267"/>
    </row>
    <row r="265" spans="1:12" ht="20.25" customHeight="1" thickBot="1" x14ac:dyDescent="0.25">
      <c r="A265" s="117">
        <v>260</v>
      </c>
      <c r="B265" s="3" t="s">
        <v>569</v>
      </c>
      <c r="C265" s="8" t="s">
        <v>5231</v>
      </c>
      <c r="D265" s="9" t="s">
        <v>570</v>
      </c>
      <c r="E265" s="4" t="s">
        <v>564</v>
      </c>
      <c r="F265" s="101" t="s">
        <v>17</v>
      </c>
      <c r="G265" s="128">
        <v>50</v>
      </c>
      <c r="H265" s="157">
        <f t="shared" si="8"/>
        <v>450</v>
      </c>
      <c r="I265" s="522">
        <f>+(35+700)/4</f>
        <v>183.75</v>
      </c>
      <c r="J265" s="519">
        <f t="shared" si="9"/>
        <v>633.75</v>
      </c>
      <c r="K265" s="268"/>
      <c r="L265" s="269"/>
    </row>
    <row r="266" spans="1:12" ht="20.25" customHeight="1" x14ac:dyDescent="0.2">
      <c r="A266" s="108">
        <v>261</v>
      </c>
      <c r="B266" s="171" t="s">
        <v>571</v>
      </c>
      <c r="C266" s="110" t="s">
        <v>5037</v>
      </c>
      <c r="D266" s="111" t="s">
        <v>572</v>
      </c>
      <c r="E266" s="112" t="s">
        <v>573</v>
      </c>
      <c r="F266" s="113" t="s">
        <v>8</v>
      </c>
      <c r="G266" s="119">
        <v>150</v>
      </c>
      <c r="H266" s="120">
        <f t="shared" si="8"/>
        <v>350</v>
      </c>
      <c r="I266" s="511">
        <f>+(465+1105)/4</f>
        <v>392.5</v>
      </c>
      <c r="J266" s="512">
        <f t="shared" si="9"/>
        <v>742.5</v>
      </c>
      <c r="K266" s="260"/>
      <c r="L266" s="365"/>
    </row>
    <row r="267" spans="1:12" ht="20.25" customHeight="1" x14ac:dyDescent="0.2">
      <c r="A267" s="114">
        <v>262</v>
      </c>
      <c r="B267" s="1" t="s">
        <v>574</v>
      </c>
      <c r="C267" s="6" t="s">
        <v>5232</v>
      </c>
      <c r="D267" s="7" t="s">
        <v>575</v>
      </c>
      <c r="E267" s="2" t="s">
        <v>573</v>
      </c>
      <c r="F267" s="99" t="s">
        <v>11</v>
      </c>
      <c r="G267" s="121">
        <v>100</v>
      </c>
      <c r="H267" s="122">
        <f t="shared" si="8"/>
        <v>400</v>
      </c>
      <c r="I267" s="520">
        <f>+(465+1105)/4</f>
        <v>392.5</v>
      </c>
      <c r="J267" s="514">
        <f t="shared" si="9"/>
        <v>792.5</v>
      </c>
      <c r="K267" s="262"/>
      <c r="L267" s="267"/>
    </row>
    <row r="268" spans="1:12" ht="20.25" customHeight="1" x14ac:dyDescent="0.2">
      <c r="A268" s="114">
        <v>263</v>
      </c>
      <c r="B268" s="1" t="s">
        <v>576</v>
      </c>
      <c r="C268" s="6" t="s">
        <v>5098</v>
      </c>
      <c r="D268" s="7" t="s">
        <v>577</v>
      </c>
      <c r="E268" s="2" t="s">
        <v>573</v>
      </c>
      <c r="F268" s="99" t="s">
        <v>14</v>
      </c>
      <c r="G268" s="121">
        <v>100</v>
      </c>
      <c r="H268" s="122">
        <f t="shared" si="8"/>
        <v>400</v>
      </c>
      <c r="I268" s="520">
        <f>+(465+1105)/4</f>
        <v>392.5</v>
      </c>
      <c r="J268" s="514">
        <f t="shared" si="9"/>
        <v>792.5</v>
      </c>
      <c r="K268" s="262"/>
      <c r="L268" s="267"/>
    </row>
    <row r="269" spans="1:12" ht="20.25" customHeight="1" thickBot="1" x14ac:dyDescent="0.25">
      <c r="A269" s="158">
        <v>264</v>
      </c>
      <c r="B269" s="159" t="s">
        <v>578</v>
      </c>
      <c r="C269" s="160" t="s">
        <v>5233</v>
      </c>
      <c r="D269" s="161" t="s">
        <v>579</v>
      </c>
      <c r="E269" s="162" t="s">
        <v>573</v>
      </c>
      <c r="F269" s="163" t="s">
        <v>17</v>
      </c>
      <c r="G269" s="164">
        <v>100</v>
      </c>
      <c r="H269" s="153">
        <f t="shared" si="8"/>
        <v>400</v>
      </c>
      <c r="I269" s="521">
        <f>+(465+1105)/4</f>
        <v>392.5</v>
      </c>
      <c r="J269" s="516">
        <f t="shared" si="9"/>
        <v>792.5</v>
      </c>
      <c r="K269" s="277"/>
      <c r="L269" s="364"/>
    </row>
    <row r="270" spans="1:12" ht="20.25" customHeight="1" x14ac:dyDescent="0.2">
      <c r="A270" s="115">
        <v>265</v>
      </c>
      <c r="B270" s="64" t="s">
        <v>580</v>
      </c>
      <c r="C270" s="65" t="s">
        <v>5234</v>
      </c>
      <c r="D270" s="66" t="s">
        <v>581</v>
      </c>
      <c r="E270" s="67" t="s">
        <v>582</v>
      </c>
      <c r="F270" s="98" t="s">
        <v>8</v>
      </c>
      <c r="G270" s="123">
        <v>50</v>
      </c>
      <c r="H270" s="124">
        <f t="shared" si="8"/>
        <v>450</v>
      </c>
      <c r="I270" s="513">
        <f>+(575+770)/4</f>
        <v>336.25</v>
      </c>
      <c r="J270" s="517">
        <f t="shared" si="9"/>
        <v>786.25</v>
      </c>
      <c r="K270" s="264"/>
      <c r="L270" s="363"/>
    </row>
    <row r="271" spans="1:12" ht="20.25" customHeight="1" x14ac:dyDescent="0.2">
      <c r="A271" s="114">
        <v>266</v>
      </c>
      <c r="B271" s="1" t="s">
        <v>583</v>
      </c>
      <c r="C271" s="6" t="s">
        <v>5235</v>
      </c>
      <c r="D271" s="7" t="s">
        <v>584</v>
      </c>
      <c r="E271" s="2" t="s">
        <v>582</v>
      </c>
      <c r="F271" s="99" t="s">
        <v>11</v>
      </c>
      <c r="G271" s="121">
        <v>50</v>
      </c>
      <c r="H271" s="122">
        <f t="shared" si="8"/>
        <v>450</v>
      </c>
      <c r="I271" s="520">
        <f>+(575+770)/4</f>
        <v>336.25</v>
      </c>
      <c r="J271" s="514">
        <f t="shared" si="9"/>
        <v>786.25</v>
      </c>
      <c r="K271" s="262"/>
      <c r="L271" s="267"/>
    </row>
    <row r="272" spans="1:12" ht="20.25" customHeight="1" x14ac:dyDescent="0.2">
      <c r="A272" s="114">
        <v>267</v>
      </c>
      <c r="B272" s="1" t="s">
        <v>585</v>
      </c>
      <c r="C272" s="6" t="s">
        <v>5022</v>
      </c>
      <c r="D272" s="7" t="s">
        <v>586</v>
      </c>
      <c r="E272" s="2" t="s">
        <v>582</v>
      </c>
      <c r="F272" s="99" t="s">
        <v>14</v>
      </c>
      <c r="G272" s="121">
        <v>50</v>
      </c>
      <c r="H272" s="122">
        <f t="shared" si="8"/>
        <v>450</v>
      </c>
      <c r="I272" s="520">
        <f>+(575+770)/4</f>
        <v>336.25</v>
      </c>
      <c r="J272" s="514">
        <f t="shared" si="9"/>
        <v>786.25</v>
      </c>
      <c r="K272" s="262"/>
      <c r="L272" s="267"/>
    </row>
    <row r="273" spans="1:36" ht="20.25" customHeight="1" thickBot="1" x14ac:dyDescent="0.25">
      <c r="A273" s="117">
        <v>268</v>
      </c>
      <c r="B273" s="3" t="s">
        <v>587</v>
      </c>
      <c r="C273" s="8" t="s">
        <v>5065</v>
      </c>
      <c r="D273" s="9" t="s">
        <v>588</v>
      </c>
      <c r="E273" s="4" t="s">
        <v>582</v>
      </c>
      <c r="F273" s="101" t="s">
        <v>17</v>
      </c>
      <c r="G273" s="128">
        <v>50</v>
      </c>
      <c r="H273" s="157">
        <f t="shared" si="8"/>
        <v>450</v>
      </c>
      <c r="I273" s="522">
        <f>+(575+770)/4</f>
        <v>336.25</v>
      </c>
      <c r="J273" s="519">
        <f t="shared" si="9"/>
        <v>786.25</v>
      </c>
      <c r="K273" s="268"/>
      <c r="L273" s="269"/>
    </row>
    <row r="274" spans="1:36" ht="20.25" customHeight="1" x14ac:dyDescent="0.2">
      <c r="A274" s="108">
        <v>269</v>
      </c>
      <c r="B274" s="174" t="s">
        <v>589</v>
      </c>
      <c r="C274" s="175" t="s">
        <v>5236</v>
      </c>
      <c r="D274" s="176" t="s">
        <v>590</v>
      </c>
      <c r="E274" s="177" t="s">
        <v>591</v>
      </c>
      <c r="F274" s="178" t="s">
        <v>8</v>
      </c>
      <c r="G274" s="179">
        <v>50</v>
      </c>
      <c r="H274" s="120">
        <f t="shared" si="8"/>
        <v>450</v>
      </c>
      <c r="I274" s="511">
        <f>+(320+290)/4</f>
        <v>152.5</v>
      </c>
      <c r="J274" s="512">
        <f t="shared" si="9"/>
        <v>602.5</v>
      </c>
      <c r="K274" s="260"/>
      <c r="L274" s="365"/>
    </row>
    <row r="275" spans="1:36" s="37" customFormat="1" ht="20.25" customHeight="1" x14ac:dyDescent="0.2">
      <c r="A275" s="116">
        <v>270</v>
      </c>
      <c r="B275" s="48" t="s">
        <v>592</v>
      </c>
      <c r="C275" s="39" t="s">
        <v>5237</v>
      </c>
      <c r="D275" s="38" t="s">
        <v>593</v>
      </c>
      <c r="E275" s="36" t="s">
        <v>591</v>
      </c>
      <c r="F275" s="105" t="s">
        <v>11</v>
      </c>
      <c r="G275" s="137">
        <v>50</v>
      </c>
      <c r="H275" s="127">
        <f t="shared" si="8"/>
        <v>450</v>
      </c>
      <c r="I275" s="523">
        <f>+(320+290)/4</f>
        <v>152.5</v>
      </c>
      <c r="J275" s="524">
        <f t="shared" si="9"/>
        <v>602.5</v>
      </c>
      <c r="K275" s="266" t="s">
        <v>4996</v>
      </c>
      <c r="L275" s="267">
        <v>5500</v>
      </c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</row>
    <row r="276" spans="1:36" ht="20.25" customHeight="1" x14ac:dyDescent="0.2">
      <c r="A276" s="114">
        <v>271</v>
      </c>
      <c r="B276" s="47" t="s">
        <v>594</v>
      </c>
      <c r="C276" s="10" t="s">
        <v>5238</v>
      </c>
      <c r="D276" s="11" t="s">
        <v>595</v>
      </c>
      <c r="E276" s="5" t="s">
        <v>591</v>
      </c>
      <c r="F276" s="100" t="s">
        <v>14</v>
      </c>
      <c r="G276" s="125">
        <v>50</v>
      </c>
      <c r="H276" s="122">
        <f t="shared" si="8"/>
        <v>450</v>
      </c>
      <c r="I276" s="520">
        <f>+(320+290)/4</f>
        <v>152.5</v>
      </c>
      <c r="J276" s="514">
        <f t="shared" si="9"/>
        <v>602.5</v>
      </c>
      <c r="K276" s="262"/>
      <c r="L276" s="267"/>
    </row>
    <row r="277" spans="1:36" ht="20.25" customHeight="1" thickBot="1" x14ac:dyDescent="0.25">
      <c r="A277" s="158">
        <v>272</v>
      </c>
      <c r="B277" s="401" t="s">
        <v>4855</v>
      </c>
      <c r="C277" s="402" t="s">
        <v>5170</v>
      </c>
      <c r="D277" s="403" t="s">
        <v>4856</v>
      </c>
      <c r="E277" s="195" t="s">
        <v>591</v>
      </c>
      <c r="F277" s="196">
        <v>4</v>
      </c>
      <c r="G277" s="197">
        <v>150</v>
      </c>
      <c r="H277" s="153">
        <f t="shared" si="8"/>
        <v>350</v>
      </c>
      <c r="I277" s="521">
        <f>+(320+290)/4</f>
        <v>152.5</v>
      </c>
      <c r="J277" s="516">
        <f t="shared" si="9"/>
        <v>502.5</v>
      </c>
      <c r="K277" s="277"/>
      <c r="L277" s="364"/>
    </row>
    <row r="278" spans="1:36" ht="20.25" customHeight="1" x14ac:dyDescent="0.2">
      <c r="A278" s="115">
        <v>273</v>
      </c>
      <c r="B278" s="64" t="s">
        <v>596</v>
      </c>
      <c r="C278" s="65" t="s">
        <v>5239</v>
      </c>
      <c r="D278" s="66" t="s">
        <v>597</v>
      </c>
      <c r="E278" s="67" t="s">
        <v>598</v>
      </c>
      <c r="F278" s="98" t="s">
        <v>8</v>
      </c>
      <c r="G278" s="123">
        <v>100</v>
      </c>
      <c r="H278" s="124">
        <f t="shared" si="8"/>
        <v>400</v>
      </c>
      <c r="I278" s="513">
        <f>+(0+330)/4</f>
        <v>82.5</v>
      </c>
      <c r="J278" s="517">
        <f t="shared" si="9"/>
        <v>482.5</v>
      </c>
      <c r="K278" s="264"/>
      <c r="L278" s="363"/>
    </row>
    <row r="279" spans="1:36" ht="20.25" customHeight="1" x14ac:dyDescent="0.2">
      <c r="A279" s="114">
        <v>274</v>
      </c>
      <c r="B279" s="1" t="s">
        <v>599</v>
      </c>
      <c r="C279" s="6" t="s">
        <v>5240</v>
      </c>
      <c r="D279" s="7" t="s">
        <v>600</v>
      </c>
      <c r="E279" s="2" t="s">
        <v>598</v>
      </c>
      <c r="F279" s="99" t="s">
        <v>11</v>
      </c>
      <c r="G279" s="121">
        <v>50</v>
      </c>
      <c r="H279" s="122">
        <f t="shared" si="8"/>
        <v>450</v>
      </c>
      <c r="I279" s="520">
        <f>+(0+330)/4</f>
        <v>82.5</v>
      </c>
      <c r="J279" s="514">
        <f t="shared" si="9"/>
        <v>532.5</v>
      </c>
      <c r="K279" s="262"/>
      <c r="L279" s="267"/>
    </row>
    <row r="280" spans="1:36" ht="20.25" customHeight="1" x14ac:dyDescent="0.2">
      <c r="A280" s="114">
        <v>275</v>
      </c>
      <c r="B280" s="1" t="s">
        <v>601</v>
      </c>
      <c r="C280" s="6" t="s">
        <v>5241</v>
      </c>
      <c r="D280" s="7" t="s">
        <v>602</v>
      </c>
      <c r="E280" s="2" t="s">
        <v>598</v>
      </c>
      <c r="F280" s="99" t="s">
        <v>14</v>
      </c>
      <c r="G280" s="121">
        <v>50</v>
      </c>
      <c r="H280" s="122">
        <f t="shared" si="8"/>
        <v>450</v>
      </c>
      <c r="I280" s="520">
        <f>+(0+330)/4</f>
        <v>82.5</v>
      </c>
      <c r="J280" s="514">
        <f t="shared" si="9"/>
        <v>532.5</v>
      </c>
      <c r="K280" s="262"/>
      <c r="L280" s="267"/>
    </row>
    <row r="281" spans="1:36" ht="20.25" customHeight="1" thickBot="1" x14ac:dyDescent="0.25">
      <c r="A281" s="117">
        <v>276</v>
      </c>
      <c r="B281" s="3" t="s">
        <v>603</v>
      </c>
      <c r="C281" s="8" t="s">
        <v>5242</v>
      </c>
      <c r="D281" s="9" t="s">
        <v>604</v>
      </c>
      <c r="E281" s="4" t="s">
        <v>598</v>
      </c>
      <c r="F281" s="101" t="s">
        <v>17</v>
      </c>
      <c r="G281" s="128">
        <v>50</v>
      </c>
      <c r="H281" s="157">
        <f t="shared" si="8"/>
        <v>450</v>
      </c>
      <c r="I281" s="522">
        <f>+(0+330)/4</f>
        <v>82.5</v>
      </c>
      <c r="J281" s="519">
        <f t="shared" si="9"/>
        <v>532.5</v>
      </c>
      <c r="K281" s="268"/>
      <c r="L281" s="269"/>
    </row>
    <row r="282" spans="1:36" ht="20.25" customHeight="1" x14ac:dyDescent="0.2">
      <c r="A282" s="108">
        <v>277</v>
      </c>
      <c r="B282" s="171" t="s">
        <v>605</v>
      </c>
      <c r="C282" s="110" t="s">
        <v>5243</v>
      </c>
      <c r="D282" s="111" t="s">
        <v>606</v>
      </c>
      <c r="E282" s="112" t="s">
        <v>607</v>
      </c>
      <c r="F282" s="113" t="s">
        <v>8</v>
      </c>
      <c r="G282" s="119">
        <v>50</v>
      </c>
      <c r="H282" s="120">
        <f t="shared" si="8"/>
        <v>450</v>
      </c>
      <c r="I282" s="511">
        <f>+(975+1455)/4</f>
        <v>607.5</v>
      </c>
      <c r="J282" s="512">
        <f t="shared" si="9"/>
        <v>1057.5</v>
      </c>
      <c r="K282" s="260"/>
      <c r="L282" s="365"/>
    </row>
    <row r="283" spans="1:36" ht="20.25" customHeight="1" x14ac:dyDescent="0.2">
      <c r="A283" s="114">
        <v>278</v>
      </c>
      <c r="B283" s="1" t="s">
        <v>608</v>
      </c>
      <c r="C283" s="6" t="s">
        <v>5244</v>
      </c>
      <c r="D283" s="7" t="s">
        <v>609</v>
      </c>
      <c r="E283" s="2" t="s">
        <v>607</v>
      </c>
      <c r="F283" s="99" t="s">
        <v>11</v>
      </c>
      <c r="G283" s="121">
        <v>50</v>
      </c>
      <c r="H283" s="122">
        <f t="shared" si="8"/>
        <v>450</v>
      </c>
      <c r="I283" s="520">
        <f>+(975+1455)/4</f>
        <v>607.5</v>
      </c>
      <c r="J283" s="514">
        <f t="shared" si="9"/>
        <v>1057.5</v>
      </c>
      <c r="K283" s="262"/>
      <c r="L283" s="267"/>
    </row>
    <row r="284" spans="1:36" ht="20.25" customHeight="1" x14ac:dyDescent="0.2">
      <c r="A284" s="114">
        <v>279</v>
      </c>
      <c r="B284" s="1" t="s">
        <v>610</v>
      </c>
      <c r="C284" s="6" t="s">
        <v>5071</v>
      </c>
      <c r="D284" s="7" t="s">
        <v>611</v>
      </c>
      <c r="E284" s="2" t="s">
        <v>607</v>
      </c>
      <c r="F284" s="99" t="s">
        <v>14</v>
      </c>
      <c r="G284" s="121">
        <v>100</v>
      </c>
      <c r="H284" s="122">
        <f t="shared" si="8"/>
        <v>400</v>
      </c>
      <c r="I284" s="520">
        <f>+(975+1455)/4</f>
        <v>607.5</v>
      </c>
      <c r="J284" s="514">
        <f t="shared" si="9"/>
        <v>1007.5</v>
      </c>
      <c r="K284" s="262"/>
      <c r="L284" s="267"/>
    </row>
    <row r="285" spans="1:36" ht="20.25" customHeight="1" thickBot="1" x14ac:dyDescent="0.25">
      <c r="A285" s="158">
        <v>280</v>
      </c>
      <c r="B285" s="159" t="s">
        <v>612</v>
      </c>
      <c r="C285" s="160" t="s">
        <v>5245</v>
      </c>
      <c r="D285" s="161" t="s">
        <v>613</v>
      </c>
      <c r="E285" s="162" t="s">
        <v>607</v>
      </c>
      <c r="F285" s="163" t="s">
        <v>17</v>
      </c>
      <c r="G285" s="164">
        <v>50</v>
      </c>
      <c r="H285" s="153">
        <f t="shared" si="8"/>
        <v>450</v>
      </c>
      <c r="I285" s="521">
        <f>+(975+1455)/4</f>
        <v>607.5</v>
      </c>
      <c r="J285" s="516">
        <f t="shared" si="9"/>
        <v>1057.5</v>
      </c>
      <c r="K285" s="277"/>
      <c r="L285" s="364"/>
    </row>
    <row r="286" spans="1:36" ht="20.25" customHeight="1" x14ac:dyDescent="0.2">
      <c r="A286" s="115">
        <v>281</v>
      </c>
      <c r="B286" s="64" t="s">
        <v>614</v>
      </c>
      <c r="C286" s="65" t="s">
        <v>5246</v>
      </c>
      <c r="D286" s="66" t="s">
        <v>615</v>
      </c>
      <c r="E286" s="67" t="s">
        <v>616</v>
      </c>
      <c r="F286" s="98" t="s">
        <v>8</v>
      </c>
      <c r="G286" s="123">
        <v>50</v>
      </c>
      <c r="H286" s="124">
        <f t="shared" si="8"/>
        <v>450</v>
      </c>
      <c r="I286" s="513">
        <f>+(950+965)/4</f>
        <v>478.75</v>
      </c>
      <c r="J286" s="517">
        <f t="shared" si="9"/>
        <v>928.75</v>
      </c>
      <c r="K286" s="264"/>
      <c r="L286" s="363"/>
    </row>
    <row r="287" spans="1:36" ht="20.25" customHeight="1" x14ac:dyDescent="0.2">
      <c r="A287" s="114">
        <v>282</v>
      </c>
      <c r="B287" s="1" t="s">
        <v>617</v>
      </c>
      <c r="C287" s="6" t="s">
        <v>5066</v>
      </c>
      <c r="D287" s="7" t="s">
        <v>618</v>
      </c>
      <c r="E287" s="2" t="s">
        <v>616</v>
      </c>
      <c r="F287" s="99" t="s">
        <v>11</v>
      </c>
      <c r="G287" s="121">
        <v>50</v>
      </c>
      <c r="H287" s="122">
        <f t="shared" si="8"/>
        <v>450</v>
      </c>
      <c r="I287" s="520">
        <f>+(950+965)/4</f>
        <v>478.75</v>
      </c>
      <c r="J287" s="514">
        <f t="shared" si="9"/>
        <v>928.75</v>
      </c>
      <c r="K287" s="262"/>
      <c r="L287" s="267"/>
    </row>
    <row r="288" spans="1:36" ht="20.25" customHeight="1" x14ac:dyDescent="0.2">
      <c r="A288" s="114">
        <v>283</v>
      </c>
      <c r="B288" s="1" t="s">
        <v>619</v>
      </c>
      <c r="C288" s="6" t="s">
        <v>5247</v>
      </c>
      <c r="D288" s="7" t="s">
        <v>620</v>
      </c>
      <c r="E288" s="2" t="s">
        <v>616</v>
      </c>
      <c r="F288" s="99" t="s">
        <v>14</v>
      </c>
      <c r="G288" s="121">
        <v>50</v>
      </c>
      <c r="H288" s="122">
        <f t="shared" si="8"/>
        <v>450</v>
      </c>
      <c r="I288" s="520">
        <f>+(950+965)/4</f>
        <v>478.75</v>
      </c>
      <c r="J288" s="514">
        <f t="shared" si="9"/>
        <v>928.75</v>
      </c>
      <c r="K288" s="262"/>
      <c r="L288" s="267"/>
    </row>
    <row r="289" spans="1:12" ht="20.25" customHeight="1" thickBot="1" x14ac:dyDescent="0.25">
      <c r="A289" s="117">
        <v>284</v>
      </c>
      <c r="B289" s="3" t="s">
        <v>621</v>
      </c>
      <c r="C289" s="8" t="s">
        <v>5248</v>
      </c>
      <c r="D289" s="9" t="s">
        <v>622</v>
      </c>
      <c r="E289" s="4" t="s">
        <v>616</v>
      </c>
      <c r="F289" s="101" t="s">
        <v>17</v>
      </c>
      <c r="G289" s="128">
        <v>50</v>
      </c>
      <c r="H289" s="157">
        <f t="shared" si="8"/>
        <v>450</v>
      </c>
      <c r="I289" s="522">
        <f>+(950+965)/4</f>
        <v>478.75</v>
      </c>
      <c r="J289" s="519">
        <f t="shared" si="9"/>
        <v>928.75</v>
      </c>
      <c r="K289" s="268"/>
      <c r="L289" s="269"/>
    </row>
    <row r="290" spans="1:12" ht="20.25" customHeight="1" x14ac:dyDescent="0.2">
      <c r="A290" s="108">
        <v>285</v>
      </c>
      <c r="B290" s="171" t="s">
        <v>623</v>
      </c>
      <c r="C290" s="110" t="s">
        <v>5249</v>
      </c>
      <c r="D290" s="111" t="s">
        <v>624</v>
      </c>
      <c r="E290" s="112" t="s">
        <v>625</v>
      </c>
      <c r="F290" s="113" t="s">
        <v>8</v>
      </c>
      <c r="G290" s="119">
        <v>100</v>
      </c>
      <c r="H290" s="120">
        <f t="shared" si="8"/>
        <v>400</v>
      </c>
      <c r="I290" s="511">
        <f>+(640+610)/4</f>
        <v>312.5</v>
      </c>
      <c r="J290" s="512">
        <f t="shared" si="9"/>
        <v>712.5</v>
      </c>
      <c r="K290" s="260"/>
      <c r="L290" s="365"/>
    </row>
    <row r="291" spans="1:12" ht="20.25" customHeight="1" x14ac:dyDescent="0.2">
      <c r="A291" s="114">
        <v>286</v>
      </c>
      <c r="B291" s="1" t="s">
        <v>626</v>
      </c>
      <c r="C291" s="6" t="s">
        <v>5250</v>
      </c>
      <c r="D291" s="7" t="s">
        <v>627</v>
      </c>
      <c r="E291" s="2" t="s">
        <v>625</v>
      </c>
      <c r="F291" s="99" t="s">
        <v>11</v>
      </c>
      <c r="G291" s="121">
        <v>100</v>
      </c>
      <c r="H291" s="122">
        <f t="shared" si="8"/>
        <v>400</v>
      </c>
      <c r="I291" s="520">
        <f>+(640+610)/4</f>
        <v>312.5</v>
      </c>
      <c r="J291" s="514">
        <f t="shared" si="9"/>
        <v>712.5</v>
      </c>
      <c r="K291" s="262"/>
      <c r="L291" s="267"/>
    </row>
    <row r="292" spans="1:12" ht="20.25" customHeight="1" x14ac:dyDescent="0.2">
      <c r="A292" s="114">
        <v>287</v>
      </c>
      <c r="B292" s="1" t="s">
        <v>628</v>
      </c>
      <c r="C292" s="6" t="s">
        <v>5251</v>
      </c>
      <c r="D292" s="7" t="s">
        <v>629</v>
      </c>
      <c r="E292" s="2" t="s">
        <v>625</v>
      </c>
      <c r="F292" s="99" t="s">
        <v>14</v>
      </c>
      <c r="G292" s="121">
        <v>100</v>
      </c>
      <c r="H292" s="122">
        <f t="shared" si="8"/>
        <v>400</v>
      </c>
      <c r="I292" s="520">
        <f>+(640+610)/4</f>
        <v>312.5</v>
      </c>
      <c r="J292" s="514">
        <f t="shared" si="9"/>
        <v>712.5</v>
      </c>
      <c r="K292" s="262"/>
      <c r="L292" s="267"/>
    </row>
    <row r="293" spans="1:12" ht="20.25" customHeight="1" thickBot="1" x14ac:dyDescent="0.25">
      <c r="A293" s="158">
        <v>288</v>
      </c>
      <c r="B293" s="159" t="s">
        <v>630</v>
      </c>
      <c r="C293" s="160" t="s">
        <v>5252</v>
      </c>
      <c r="D293" s="161" t="s">
        <v>631</v>
      </c>
      <c r="E293" s="162" t="s">
        <v>625</v>
      </c>
      <c r="F293" s="163" t="s">
        <v>17</v>
      </c>
      <c r="G293" s="164">
        <v>150</v>
      </c>
      <c r="H293" s="153">
        <f t="shared" si="8"/>
        <v>350</v>
      </c>
      <c r="I293" s="521">
        <f>+(640+610)/4</f>
        <v>312.5</v>
      </c>
      <c r="J293" s="516">
        <f t="shared" si="9"/>
        <v>662.5</v>
      </c>
      <c r="K293" s="277"/>
      <c r="L293" s="364"/>
    </row>
    <row r="294" spans="1:12" ht="20.25" customHeight="1" x14ac:dyDescent="0.2">
      <c r="A294" s="115">
        <v>289</v>
      </c>
      <c r="B294" s="64" t="s">
        <v>632</v>
      </c>
      <c r="C294" s="65" t="s">
        <v>5149</v>
      </c>
      <c r="D294" s="66" t="s">
        <v>633</v>
      </c>
      <c r="E294" s="67" t="s">
        <v>634</v>
      </c>
      <c r="F294" s="98" t="s">
        <v>8</v>
      </c>
      <c r="G294" s="123">
        <v>50</v>
      </c>
      <c r="H294" s="124">
        <f t="shared" si="8"/>
        <v>450</v>
      </c>
      <c r="I294" s="513">
        <f>+(560+1015)/4</f>
        <v>393.75</v>
      </c>
      <c r="J294" s="517">
        <f t="shared" si="9"/>
        <v>843.75</v>
      </c>
      <c r="K294" s="264"/>
      <c r="L294" s="363"/>
    </row>
    <row r="295" spans="1:12" ht="20.25" customHeight="1" x14ac:dyDescent="0.2">
      <c r="A295" s="114">
        <v>290</v>
      </c>
      <c r="B295" s="1" t="s">
        <v>635</v>
      </c>
      <c r="C295" s="6" t="s">
        <v>5253</v>
      </c>
      <c r="D295" s="7" t="s">
        <v>636</v>
      </c>
      <c r="E295" s="2" t="s">
        <v>634</v>
      </c>
      <c r="F295" s="99" t="s">
        <v>11</v>
      </c>
      <c r="G295" s="121">
        <v>50</v>
      </c>
      <c r="H295" s="122">
        <f t="shared" si="8"/>
        <v>450</v>
      </c>
      <c r="I295" s="520">
        <f>+(560+1015)/4</f>
        <v>393.75</v>
      </c>
      <c r="J295" s="514">
        <f t="shared" si="9"/>
        <v>843.75</v>
      </c>
      <c r="K295" s="262"/>
      <c r="L295" s="267"/>
    </row>
    <row r="296" spans="1:12" ht="20.25" customHeight="1" x14ac:dyDescent="0.2">
      <c r="A296" s="114">
        <v>291</v>
      </c>
      <c r="B296" s="1" t="s">
        <v>637</v>
      </c>
      <c r="C296" s="6" t="s">
        <v>5254</v>
      </c>
      <c r="D296" s="7" t="s">
        <v>638</v>
      </c>
      <c r="E296" s="2" t="s">
        <v>634</v>
      </c>
      <c r="F296" s="99" t="s">
        <v>14</v>
      </c>
      <c r="G296" s="121">
        <v>50</v>
      </c>
      <c r="H296" s="122">
        <f t="shared" si="8"/>
        <v>450</v>
      </c>
      <c r="I296" s="520">
        <f>+(560+1015)/4</f>
        <v>393.75</v>
      </c>
      <c r="J296" s="514">
        <f t="shared" si="9"/>
        <v>843.75</v>
      </c>
      <c r="K296" s="262"/>
      <c r="L296" s="267"/>
    </row>
    <row r="297" spans="1:12" ht="20.25" customHeight="1" thickBot="1" x14ac:dyDescent="0.25">
      <c r="A297" s="117">
        <v>292</v>
      </c>
      <c r="B297" s="3" t="s">
        <v>639</v>
      </c>
      <c r="C297" s="8" t="s">
        <v>5255</v>
      </c>
      <c r="D297" s="9" t="s">
        <v>640</v>
      </c>
      <c r="E297" s="4" t="s">
        <v>634</v>
      </c>
      <c r="F297" s="101" t="s">
        <v>17</v>
      </c>
      <c r="G297" s="128">
        <v>100</v>
      </c>
      <c r="H297" s="157">
        <f t="shared" si="8"/>
        <v>400</v>
      </c>
      <c r="I297" s="522">
        <f>+(560+1015)/4</f>
        <v>393.75</v>
      </c>
      <c r="J297" s="519">
        <f t="shared" si="9"/>
        <v>793.75</v>
      </c>
      <c r="K297" s="268"/>
      <c r="L297" s="269"/>
    </row>
    <row r="298" spans="1:12" ht="20.25" customHeight="1" x14ac:dyDescent="0.2">
      <c r="A298" s="108">
        <v>293</v>
      </c>
      <c r="B298" s="171" t="s">
        <v>641</v>
      </c>
      <c r="C298" s="110" t="s">
        <v>5256</v>
      </c>
      <c r="D298" s="111" t="s">
        <v>642</v>
      </c>
      <c r="E298" s="112" t="s">
        <v>643</v>
      </c>
      <c r="F298" s="113" t="s">
        <v>8</v>
      </c>
      <c r="G298" s="119">
        <v>50</v>
      </c>
      <c r="H298" s="120">
        <f t="shared" si="8"/>
        <v>450</v>
      </c>
      <c r="I298" s="511">
        <f>+(200+730)/4</f>
        <v>232.5</v>
      </c>
      <c r="J298" s="512">
        <f t="shared" si="9"/>
        <v>682.5</v>
      </c>
      <c r="K298" s="260"/>
      <c r="L298" s="365"/>
    </row>
    <row r="299" spans="1:12" ht="20.25" customHeight="1" x14ac:dyDescent="0.2">
      <c r="A299" s="114">
        <v>294</v>
      </c>
      <c r="B299" s="1" t="s">
        <v>644</v>
      </c>
      <c r="C299" s="6" t="s">
        <v>5040</v>
      </c>
      <c r="D299" s="7" t="s">
        <v>645</v>
      </c>
      <c r="E299" s="2" t="s">
        <v>643</v>
      </c>
      <c r="F299" s="99" t="s">
        <v>11</v>
      </c>
      <c r="G299" s="121">
        <v>50</v>
      </c>
      <c r="H299" s="122">
        <f t="shared" si="8"/>
        <v>450</v>
      </c>
      <c r="I299" s="520">
        <f>+(200+730)/4</f>
        <v>232.5</v>
      </c>
      <c r="J299" s="514">
        <f t="shared" si="9"/>
        <v>682.5</v>
      </c>
      <c r="K299" s="262"/>
      <c r="L299" s="267"/>
    </row>
    <row r="300" spans="1:12" ht="20.25" customHeight="1" x14ac:dyDescent="0.2">
      <c r="A300" s="114">
        <v>295</v>
      </c>
      <c r="B300" s="1" t="s">
        <v>646</v>
      </c>
      <c r="C300" s="6" t="s">
        <v>5257</v>
      </c>
      <c r="D300" s="7" t="s">
        <v>647</v>
      </c>
      <c r="E300" s="2" t="s">
        <v>643</v>
      </c>
      <c r="F300" s="99" t="s">
        <v>14</v>
      </c>
      <c r="G300" s="121">
        <v>50</v>
      </c>
      <c r="H300" s="122">
        <f t="shared" si="8"/>
        <v>450</v>
      </c>
      <c r="I300" s="520">
        <f>+(200+730)/4</f>
        <v>232.5</v>
      </c>
      <c r="J300" s="514">
        <f t="shared" si="9"/>
        <v>682.5</v>
      </c>
      <c r="K300" s="262"/>
      <c r="L300" s="267"/>
    </row>
    <row r="301" spans="1:12" ht="20.25" customHeight="1" thickBot="1" x14ac:dyDescent="0.25">
      <c r="A301" s="158">
        <v>296</v>
      </c>
      <c r="B301" s="159" t="s">
        <v>648</v>
      </c>
      <c r="C301" s="160" t="s">
        <v>5258</v>
      </c>
      <c r="D301" s="161" t="s">
        <v>230</v>
      </c>
      <c r="E301" s="162" t="s">
        <v>643</v>
      </c>
      <c r="F301" s="163" t="s">
        <v>17</v>
      </c>
      <c r="G301" s="164">
        <v>50</v>
      </c>
      <c r="H301" s="153">
        <f t="shared" si="8"/>
        <v>450</v>
      </c>
      <c r="I301" s="521">
        <f>+(200+730)/4</f>
        <v>232.5</v>
      </c>
      <c r="J301" s="516">
        <f t="shared" si="9"/>
        <v>682.5</v>
      </c>
      <c r="K301" s="277"/>
      <c r="L301" s="364"/>
    </row>
    <row r="302" spans="1:12" ht="20.25" customHeight="1" x14ac:dyDescent="0.2">
      <c r="A302" s="115">
        <v>297</v>
      </c>
      <c r="B302" s="64" t="s">
        <v>649</v>
      </c>
      <c r="C302" s="65" t="s">
        <v>5021</v>
      </c>
      <c r="D302" s="66" t="s">
        <v>650</v>
      </c>
      <c r="E302" s="67" t="s">
        <v>651</v>
      </c>
      <c r="F302" s="98" t="s">
        <v>8</v>
      </c>
      <c r="G302" s="123">
        <v>150</v>
      </c>
      <c r="H302" s="124">
        <f t="shared" si="8"/>
        <v>350</v>
      </c>
      <c r="I302" s="513">
        <f>+(1005+1555)/4</f>
        <v>640</v>
      </c>
      <c r="J302" s="517">
        <f t="shared" si="9"/>
        <v>990</v>
      </c>
      <c r="K302" s="264"/>
      <c r="L302" s="363"/>
    </row>
    <row r="303" spans="1:12" ht="20.25" customHeight="1" x14ac:dyDescent="0.2">
      <c r="A303" s="114">
        <v>298</v>
      </c>
      <c r="B303" s="1" t="s">
        <v>652</v>
      </c>
      <c r="C303" s="6" t="s">
        <v>5133</v>
      </c>
      <c r="D303" s="7" t="s">
        <v>653</v>
      </c>
      <c r="E303" s="2" t="s">
        <v>651</v>
      </c>
      <c r="F303" s="99" t="s">
        <v>11</v>
      </c>
      <c r="G303" s="121">
        <v>150</v>
      </c>
      <c r="H303" s="122">
        <f t="shared" si="8"/>
        <v>350</v>
      </c>
      <c r="I303" s="520">
        <f>+(1005+1555)/4</f>
        <v>640</v>
      </c>
      <c r="J303" s="514">
        <f t="shared" si="9"/>
        <v>990</v>
      </c>
      <c r="K303" s="262"/>
      <c r="L303" s="267"/>
    </row>
    <row r="304" spans="1:12" ht="20.25" customHeight="1" x14ac:dyDescent="0.2">
      <c r="A304" s="114">
        <v>299</v>
      </c>
      <c r="B304" s="1" t="s">
        <v>654</v>
      </c>
      <c r="C304" s="6" t="s">
        <v>5259</v>
      </c>
      <c r="D304" s="7" t="s">
        <v>655</v>
      </c>
      <c r="E304" s="2" t="s">
        <v>651</v>
      </c>
      <c r="F304" s="99" t="s">
        <v>14</v>
      </c>
      <c r="G304" s="121">
        <v>50</v>
      </c>
      <c r="H304" s="122">
        <f t="shared" si="8"/>
        <v>450</v>
      </c>
      <c r="I304" s="520">
        <f>+(1005+1555)/4</f>
        <v>640</v>
      </c>
      <c r="J304" s="514">
        <f t="shared" si="9"/>
        <v>1090</v>
      </c>
      <c r="K304" s="262"/>
      <c r="L304" s="267"/>
    </row>
    <row r="305" spans="1:12" ht="20.25" customHeight="1" thickBot="1" x14ac:dyDescent="0.25">
      <c r="A305" s="117">
        <v>300</v>
      </c>
      <c r="B305" s="3" t="s">
        <v>656</v>
      </c>
      <c r="C305" s="8" t="s">
        <v>5260</v>
      </c>
      <c r="D305" s="9" t="s">
        <v>657</v>
      </c>
      <c r="E305" s="4" t="s">
        <v>651</v>
      </c>
      <c r="F305" s="101" t="s">
        <v>17</v>
      </c>
      <c r="G305" s="128">
        <v>50</v>
      </c>
      <c r="H305" s="157">
        <f t="shared" si="8"/>
        <v>450</v>
      </c>
      <c r="I305" s="522">
        <f>+(1005+1555)/4</f>
        <v>640</v>
      </c>
      <c r="J305" s="519">
        <f t="shared" si="9"/>
        <v>1090</v>
      </c>
      <c r="K305" s="268"/>
      <c r="L305" s="269"/>
    </row>
    <row r="306" spans="1:12" ht="20.25" customHeight="1" x14ac:dyDescent="0.2">
      <c r="A306" s="108">
        <v>301</v>
      </c>
      <c r="B306" s="171" t="s">
        <v>658</v>
      </c>
      <c r="C306" s="110" t="s">
        <v>5229</v>
      </c>
      <c r="D306" s="111" t="s">
        <v>659</v>
      </c>
      <c r="E306" s="112" t="s">
        <v>660</v>
      </c>
      <c r="F306" s="113" t="s">
        <v>8</v>
      </c>
      <c r="G306" s="119">
        <v>100</v>
      </c>
      <c r="H306" s="120">
        <f t="shared" si="8"/>
        <v>400</v>
      </c>
      <c r="I306" s="511">
        <f>+(200+655)/4</f>
        <v>213.75</v>
      </c>
      <c r="J306" s="512">
        <f t="shared" si="9"/>
        <v>613.75</v>
      </c>
      <c r="K306" s="260"/>
      <c r="L306" s="365"/>
    </row>
    <row r="307" spans="1:12" ht="20.25" customHeight="1" x14ac:dyDescent="0.2">
      <c r="A307" s="114">
        <v>302</v>
      </c>
      <c r="B307" s="1" t="s">
        <v>661</v>
      </c>
      <c r="C307" s="6" t="s">
        <v>5261</v>
      </c>
      <c r="D307" s="7" t="s">
        <v>662</v>
      </c>
      <c r="E307" s="2" t="s">
        <v>660</v>
      </c>
      <c r="F307" s="99" t="s">
        <v>11</v>
      </c>
      <c r="G307" s="121">
        <v>100</v>
      </c>
      <c r="H307" s="122">
        <f t="shared" si="8"/>
        <v>400</v>
      </c>
      <c r="I307" s="520">
        <f>+(200+655)/4</f>
        <v>213.75</v>
      </c>
      <c r="J307" s="514">
        <f t="shared" si="9"/>
        <v>613.75</v>
      </c>
      <c r="K307" s="262"/>
      <c r="L307" s="267"/>
    </row>
    <row r="308" spans="1:12" ht="20.25" customHeight="1" x14ac:dyDescent="0.2">
      <c r="A308" s="114">
        <v>303</v>
      </c>
      <c r="B308" s="1" t="s">
        <v>663</v>
      </c>
      <c r="C308" s="6" t="s">
        <v>5262</v>
      </c>
      <c r="D308" s="7" t="s">
        <v>664</v>
      </c>
      <c r="E308" s="2" t="s">
        <v>660</v>
      </c>
      <c r="F308" s="99" t="s">
        <v>14</v>
      </c>
      <c r="G308" s="121">
        <v>100</v>
      </c>
      <c r="H308" s="122">
        <f t="shared" si="8"/>
        <v>400</v>
      </c>
      <c r="I308" s="520">
        <f>+(200+655)/4</f>
        <v>213.75</v>
      </c>
      <c r="J308" s="514">
        <f t="shared" si="9"/>
        <v>613.75</v>
      </c>
      <c r="K308" s="262"/>
      <c r="L308" s="267"/>
    </row>
    <row r="309" spans="1:12" ht="20.25" customHeight="1" thickBot="1" x14ac:dyDescent="0.25">
      <c r="A309" s="158">
        <v>304</v>
      </c>
      <c r="B309" s="159" t="s">
        <v>665</v>
      </c>
      <c r="C309" s="160" t="s">
        <v>5135</v>
      </c>
      <c r="D309" s="161" t="s">
        <v>666</v>
      </c>
      <c r="E309" s="162" t="s">
        <v>660</v>
      </c>
      <c r="F309" s="163" t="s">
        <v>17</v>
      </c>
      <c r="G309" s="164">
        <v>50</v>
      </c>
      <c r="H309" s="153">
        <f t="shared" si="8"/>
        <v>450</v>
      </c>
      <c r="I309" s="521">
        <f>+(200+655)/4</f>
        <v>213.75</v>
      </c>
      <c r="J309" s="516">
        <f t="shared" si="9"/>
        <v>663.75</v>
      </c>
      <c r="K309" s="277"/>
      <c r="L309" s="364"/>
    </row>
    <row r="310" spans="1:12" ht="20.25" customHeight="1" x14ac:dyDescent="0.2">
      <c r="A310" s="115">
        <v>305</v>
      </c>
      <c r="B310" s="61" t="s">
        <v>667</v>
      </c>
      <c r="C310" s="62" t="s">
        <v>5263</v>
      </c>
      <c r="D310" s="63" t="s">
        <v>668</v>
      </c>
      <c r="E310" s="12" t="s">
        <v>669</v>
      </c>
      <c r="F310" s="172" t="s">
        <v>8</v>
      </c>
      <c r="G310" s="173">
        <v>50</v>
      </c>
      <c r="H310" s="124">
        <f t="shared" si="8"/>
        <v>450</v>
      </c>
      <c r="I310" s="513">
        <f>+(320+755)/4</f>
        <v>268.75</v>
      </c>
      <c r="J310" s="517">
        <f t="shared" si="9"/>
        <v>718.75</v>
      </c>
      <c r="K310" s="264"/>
      <c r="L310" s="363"/>
    </row>
    <row r="311" spans="1:12" ht="20.25" customHeight="1" x14ac:dyDescent="0.2">
      <c r="A311" s="114">
        <v>306</v>
      </c>
      <c r="B311" s="47" t="s">
        <v>670</v>
      </c>
      <c r="C311" s="10" t="s">
        <v>5264</v>
      </c>
      <c r="D311" s="11" t="s">
        <v>671</v>
      </c>
      <c r="E311" s="5" t="s">
        <v>669</v>
      </c>
      <c r="F311" s="100" t="s">
        <v>11</v>
      </c>
      <c r="G311" s="125">
        <v>50</v>
      </c>
      <c r="H311" s="122">
        <f t="shared" si="8"/>
        <v>450</v>
      </c>
      <c r="I311" s="520">
        <f>+(320+755)/4</f>
        <v>268.75</v>
      </c>
      <c r="J311" s="514">
        <f t="shared" si="9"/>
        <v>718.75</v>
      </c>
      <c r="K311" s="262"/>
      <c r="L311" s="267"/>
    </row>
    <row r="312" spans="1:12" ht="20.25" customHeight="1" x14ac:dyDescent="0.2">
      <c r="A312" s="114">
        <v>307</v>
      </c>
      <c r="B312" s="47" t="s">
        <v>672</v>
      </c>
      <c r="C312" s="10" t="s">
        <v>5265</v>
      </c>
      <c r="D312" s="11" t="s">
        <v>673</v>
      </c>
      <c r="E312" s="5" t="s">
        <v>669</v>
      </c>
      <c r="F312" s="100" t="s">
        <v>14</v>
      </c>
      <c r="G312" s="125">
        <v>50</v>
      </c>
      <c r="H312" s="122">
        <f t="shared" si="8"/>
        <v>450</v>
      </c>
      <c r="I312" s="520">
        <f>+(320+755)/4</f>
        <v>268.75</v>
      </c>
      <c r="J312" s="514">
        <f t="shared" si="9"/>
        <v>718.75</v>
      </c>
      <c r="K312" s="262"/>
      <c r="L312" s="267"/>
    </row>
    <row r="313" spans="1:12" ht="20.25" customHeight="1" thickBot="1" x14ac:dyDescent="0.25">
      <c r="A313" s="117">
        <v>308</v>
      </c>
      <c r="B313" s="380" t="s">
        <v>4858</v>
      </c>
      <c r="C313" s="381" t="s">
        <v>5228</v>
      </c>
      <c r="D313" s="382" t="s">
        <v>4857</v>
      </c>
      <c r="E313" s="32">
        <v>1406</v>
      </c>
      <c r="F313" s="404">
        <v>4</v>
      </c>
      <c r="G313" s="362">
        <v>150</v>
      </c>
      <c r="H313" s="157">
        <f t="shared" si="8"/>
        <v>350</v>
      </c>
      <c r="I313" s="522">
        <f>+(320+755)/4</f>
        <v>268.75</v>
      </c>
      <c r="J313" s="519">
        <f t="shared" si="9"/>
        <v>618.75</v>
      </c>
      <c r="K313" s="268"/>
      <c r="L313" s="269"/>
    </row>
    <row r="314" spans="1:12" ht="20.25" customHeight="1" x14ac:dyDescent="0.2">
      <c r="A314" s="108">
        <v>309</v>
      </c>
      <c r="B314" s="171" t="s">
        <v>674</v>
      </c>
      <c r="C314" s="110" t="s">
        <v>5266</v>
      </c>
      <c r="D314" s="111" t="s">
        <v>675</v>
      </c>
      <c r="E314" s="112" t="s">
        <v>676</v>
      </c>
      <c r="F314" s="113" t="s">
        <v>8</v>
      </c>
      <c r="G314" s="119">
        <v>50</v>
      </c>
      <c r="H314" s="120">
        <f t="shared" si="8"/>
        <v>450</v>
      </c>
      <c r="I314" s="511">
        <f>+(0+770)/4</f>
        <v>192.5</v>
      </c>
      <c r="J314" s="512">
        <f t="shared" si="9"/>
        <v>642.5</v>
      </c>
      <c r="K314" s="260"/>
      <c r="L314" s="365"/>
    </row>
    <row r="315" spans="1:12" ht="20.25" customHeight="1" x14ac:dyDescent="0.2">
      <c r="A315" s="114">
        <v>310</v>
      </c>
      <c r="B315" s="1" t="s">
        <v>677</v>
      </c>
      <c r="C315" s="6" t="s">
        <v>5267</v>
      </c>
      <c r="D315" s="7" t="s">
        <v>678</v>
      </c>
      <c r="E315" s="2" t="s">
        <v>676</v>
      </c>
      <c r="F315" s="99" t="s">
        <v>11</v>
      </c>
      <c r="G315" s="121">
        <v>100</v>
      </c>
      <c r="H315" s="122">
        <f t="shared" si="8"/>
        <v>400</v>
      </c>
      <c r="I315" s="520">
        <f>+(0+770)/4</f>
        <v>192.5</v>
      </c>
      <c r="J315" s="514">
        <f t="shared" si="9"/>
        <v>592.5</v>
      </c>
      <c r="K315" s="262"/>
      <c r="L315" s="267"/>
    </row>
    <row r="316" spans="1:12" ht="20.25" customHeight="1" x14ac:dyDescent="0.2">
      <c r="A316" s="114">
        <v>311</v>
      </c>
      <c r="B316" s="1" t="s">
        <v>679</v>
      </c>
      <c r="C316" s="6" t="s">
        <v>5137</v>
      </c>
      <c r="D316" s="7" t="s">
        <v>680</v>
      </c>
      <c r="E316" s="2" t="s">
        <v>676</v>
      </c>
      <c r="F316" s="99" t="s">
        <v>14</v>
      </c>
      <c r="G316" s="121">
        <v>50</v>
      </c>
      <c r="H316" s="122">
        <f t="shared" si="8"/>
        <v>450</v>
      </c>
      <c r="I316" s="520">
        <f>+(0+770)/4</f>
        <v>192.5</v>
      </c>
      <c r="J316" s="514">
        <f t="shared" si="9"/>
        <v>642.5</v>
      </c>
      <c r="K316" s="262"/>
      <c r="L316" s="267"/>
    </row>
    <row r="317" spans="1:12" ht="20.25" customHeight="1" thickBot="1" x14ac:dyDescent="0.25">
      <c r="A317" s="158">
        <v>312</v>
      </c>
      <c r="B317" s="159" t="s">
        <v>681</v>
      </c>
      <c r="C317" s="160" t="s">
        <v>5268</v>
      </c>
      <c r="D317" s="161" t="s">
        <v>682</v>
      </c>
      <c r="E317" s="162" t="s">
        <v>676</v>
      </c>
      <c r="F317" s="163" t="s">
        <v>17</v>
      </c>
      <c r="G317" s="164">
        <v>50</v>
      </c>
      <c r="H317" s="153">
        <f t="shared" si="8"/>
        <v>450</v>
      </c>
      <c r="I317" s="521">
        <f>+(0+770)/4</f>
        <v>192.5</v>
      </c>
      <c r="J317" s="516">
        <f t="shared" si="9"/>
        <v>642.5</v>
      </c>
      <c r="K317" s="277"/>
      <c r="L317" s="364"/>
    </row>
    <row r="318" spans="1:12" ht="20.25" customHeight="1" x14ac:dyDescent="0.2">
      <c r="A318" s="115">
        <v>313</v>
      </c>
      <c r="B318" s="64" t="s">
        <v>683</v>
      </c>
      <c r="C318" s="65" t="s">
        <v>5269</v>
      </c>
      <c r="D318" s="66" t="s">
        <v>684</v>
      </c>
      <c r="E318" s="67" t="s">
        <v>685</v>
      </c>
      <c r="F318" s="98" t="s">
        <v>8</v>
      </c>
      <c r="G318" s="123">
        <v>50</v>
      </c>
      <c r="H318" s="124">
        <f t="shared" si="8"/>
        <v>450</v>
      </c>
      <c r="I318" s="513">
        <f>+(320+1205)/4</f>
        <v>381.25</v>
      </c>
      <c r="J318" s="517">
        <f t="shared" si="9"/>
        <v>831.25</v>
      </c>
      <c r="K318" s="264"/>
      <c r="L318" s="363"/>
    </row>
    <row r="319" spans="1:12" ht="20.25" customHeight="1" x14ac:dyDescent="0.2">
      <c r="A319" s="114">
        <v>314</v>
      </c>
      <c r="B319" s="1" t="s">
        <v>686</v>
      </c>
      <c r="C319" s="6" t="s">
        <v>5270</v>
      </c>
      <c r="D319" s="7" t="s">
        <v>687</v>
      </c>
      <c r="E319" s="2" t="s">
        <v>685</v>
      </c>
      <c r="F319" s="99" t="s">
        <v>11</v>
      </c>
      <c r="G319" s="121">
        <v>50</v>
      </c>
      <c r="H319" s="122">
        <f t="shared" si="8"/>
        <v>450</v>
      </c>
      <c r="I319" s="520">
        <f>+(320+1205)/4</f>
        <v>381.25</v>
      </c>
      <c r="J319" s="514">
        <f t="shared" si="9"/>
        <v>831.25</v>
      </c>
      <c r="K319" s="262"/>
      <c r="L319" s="267"/>
    </row>
    <row r="320" spans="1:12" ht="20.25" customHeight="1" x14ac:dyDescent="0.2">
      <c r="A320" s="114">
        <v>315</v>
      </c>
      <c r="B320" s="1" t="s">
        <v>688</v>
      </c>
      <c r="C320" s="6" t="s">
        <v>5066</v>
      </c>
      <c r="D320" s="7" t="s">
        <v>689</v>
      </c>
      <c r="E320" s="2" t="s">
        <v>685</v>
      </c>
      <c r="F320" s="99" t="s">
        <v>14</v>
      </c>
      <c r="G320" s="121">
        <v>50</v>
      </c>
      <c r="H320" s="122">
        <f t="shared" si="8"/>
        <v>450</v>
      </c>
      <c r="I320" s="520">
        <f>+(320+1205)/4</f>
        <v>381.25</v>
      </c>
      <c r="J320" s="514">
        <f t="shared" si="9"/>
        <v>831.25</v>
      </c>
      <c r="K320" s="262"/>
      <c r="L320" s="267"/>
    </row>
    <row r="321" spans="1:12" ht="20.25" customHeight="1" thickBot="1" x14ac:dyDescent="0.25">
      <c r="A321" s="117">
        <v>316</v>
      </c>
      <c r="B321" s="3" t="s">
        <v>690</v>
      </c>
      <c r="C321" s="8" t="s">
        <v>5271</v>
      </c>
      <c r="D321" s="9" t="s">
        <v>691</v>
      </c>
      <c r="E321" s="4" t="s">
        <v>685</v>
      </c>
      <c r="F321" s="101" t="s">
        <v>17</v>
      </c>
      <c r="G321" s="128">
        <v>50</v>
      </c>
      <c r="H321" s="157">
        <f t="shared" si="8"/>
        <v>450</v>
      </c>
      <c r="I321" s="522">
        <f>+(320+1205)/4</f>
        <v>381.25</v>
      </c>
      <c r="J321" s="519">
        <f t="shared" si="9"/>
        <v>831.25</v>
      </c>
      <c r="K321" s="268"/>
      <c r="L321" s="269"/>
    </row>
    <row r="322" spans="1:12" ht="20.25" customHeight="1" x14ac:dyDescent="0.2">
      <c r="A322" s="108">
        <v>317</v>
      </c>
      <c r="B322" s="171" t="s">
        <v>692</v>
      </c>
      <c r="C322" s="110" t="s">
        <v>5272</v>
      </c>
      <c r="D322" s="111" t="s">
        <v>693</v>
      </c>
      <c r="E322" s="112" t="s">
        <v>694</v>
      </c>
      <c r="F322" s="113" t="s">
        <v>8</v>
      </c>
      <c r="G322" s="119">
        <v>100</v>
      </c>
      <c r="H322" s="120">
        <f t="shared" si="8"/>
        <v>400</v>
      </c>
      <c r="I322" s="511">
        <f>+(145+585)/4</f>
        <v>182.5</v>
      </c>
      <c r="J322" s="512">
        <f t="shared" si="9"/>
        <v>582.5</v>
      </c>
      <c r="K322" s="260"/>
      <c r="L322" s="365"/>
    </row>
    <row r="323" spans="1:12" ht="20.25" customHeight="1" x14ac:dyDescent="0.2">
      <c r="A323" s="114">
        <v>318</v>
      </c>
      <c r="B323" s="1" t="s">
        <v>695</v>
      </c>
      <c r="C323" s="6" t="s">
        <v>5273</v>
      </c>
      <c r="D323" s="7" t="s">
        <v>696</v>
      </c>
      <c r="E323" s="2" t="s">
        <v>694</v>
      </c>
      <c r="F323" s="99" t="s">
        <v>11</v>
      </c>
      <c r="G323" s="121">
        <v>50</v>
      </c>
      <c r="H323" s="122">
        <f t="shared" si="8"/>
        <v>450</v>
      </c>
      <c r="I323" s="520">
        <f>+(145+585)/4</f>
        <v>182.5</v>
      </c>
      <c r="J323" s="514">
        <f t="shared" si="9"/>
        <v>632.5</v>
      </c>
      <c r="K323" s="262"/>
      <c r="L323" s="267"/>
    </row>
    <row r="324" spans="1:12" ht="20.25" customHeight="1" x14ac:dyDescent="0.2">
      <c r="A324" s="114">
        <v>319</v>
      </c>
      <c r="B324" s="1" t="s">
        <v>697</v>
      </c>
      <c r="C324" s="6" t="s">
        <v>5274</v>
      </c>
      <c r="D324" s="7" t="s">
        <v>698</v>
      </c>
      <c r="E324" s="2" t="s">
        <v>694</v>
      </c>
      <c r="F324" s="99" t="s">
        <v>14</v>
      </c>
      <c r="G324" s="121">
        <v>50</v>
      </c>
      <c r="H324" s="122">
        <f t="shared" si="8"/>
        <v>450</v>
      </c>
      <c r="I324" s="520">
        <f>+(145+585)/4</f>
        <v>182.5</v>
      </c>
      <c r="J324" s="514">
        <f t="shared" si="9"/>
        <v>632.5</v>
      </c>
      <c r="K324" s="262"/>
      <c r="L324" s="267"/>
    </row>
    <row r="325" spans="1:12" ht="20.25" customHeight="1" thickBot="1" x14ac:dyDescent="0.25">
      <c r="A325" s="158">
        <v>320</v>
      </c>
      <c r="B325" s="159" t="s">
        <v>699</v>
      </c>
      <c r="C325" s="160" t="s">
        <v>5275</v>
      </c>
      <c r="D325" s="161" t="s">
        <v>700</v>
      </c>
      <c r="E325" s="162" t="s">
        <v>694</v>
      </c>
      <c r="F325" s="163" t="s">
        <v>17</v>
      </c>
      <c r="G325" s="164">
        <v>50</v>
      </c>
      <c r="H325" s="153">
        <f t="shared" si="8"/>
        <v>450</v>
      </c>
      <c r="I325" s="521">
        <f>+(145+585)/4</f>
        <v>182.5</v>
      </c>
      <c r="J325" s="516">
        <f t="shared" si="9"/>
        <v>632.5</v>
      </c>
      <c r="K325" s="277"/>
      <c r="L325" s="364"/>
    </row>
    <row r="326" spans="1:12" ht="20.25" customHeight="1" x14ac:dyDescent="0.2">
      <c r="A326" s="115">
        <v>321</v>
      </c>
      <c r="B326" s="64" t="s">
        <v>701</v>
      </c>
      <c r="C326" s="65" t="s">
        <v>5276</v>
      </c>
      <c r="D326" s="66" t="s">
        <v>702</v>
      </c>
      <c r="E326" s="67" t="s">
        <v>703</v>
      </c>
      <c r="F326" s="98" t="s">
        <v>8</v>
      </c>
      <c r="G326" s="123">
        <v>50</v>
      </c>
      <c r="H326" s="124">
        <f t="shared" si="8"/>
        <v>450</v>
      </c>
      <c r="I326" s="513">
        <f>+(105+950)/4</f>
        <v>263.75</v>
      </c>
      <c r="J326" s="517">
        <f t="shared" si="9"/>
        <v>713.75</v>
      </c>
      <c r="K326" s="264"/>
      <c r="L326" s="363"/>
    </row>
    <row r="327" spans="1:12" ht="20.25" customHeight="1" x14ac:dyDescent="0.2">
      <c r="A327" s="114">
        <v>322</v>
      </c>
      <c r="B327" s="1" t="s">
        <v>704</v>
      </c>
      <c r="C327" s="6" t="s">
        <v>5134</v>
      </c>
      <c r="D327" s="7" t="s">
        <v>705</v>
      </c>
      <c r="E327" s="2" t="s">
        <v>703</v>
      </c>
      <c r="F327" s="99" t="s">
        <v>11</v>
      </c>
      <c r="G327" s="121">
        <v>100</v>
      </c>
      <c r="H327" s="122">
        <f t="shared" ref="H327:H390" si="10">500-G327</f>
        <v>400</v>
      </c>
      <c r="I327" s="520">
        <f>+(105+950)/4</f>
        <v>263.75</v>
      </c>
      <c r="J327" s="514">
        <f t="shared" si="9"/>
        <v>663.75</v>
      </c>
      <c r="K327" s="262"/>
      <c r="L327" s="267"/>
    </row>
    <row r="328" spans="1:12" ht="20.25" customHeight="1" x14ac:dyDescent="0.2">
      <c r="A328" s="114">
        <v>323</v>
      </c>
      <c r="B328" s="1" t="s">
        <v>706</v>
      </c>
      <c r="C328" s="6" t="s">
        <v>5277</v>
      </c>
      <c r="D328" s="7" t="s">
        <v>707</v>
      </c>
      <c r="E328" s="2" t="s">
        <v>703</v>
      </c>
      <c r="F328" s="99" t="s">
        <v>14</v>
      </c>
      <c r="G328" s="121">
        <v>100</v>
      </c>
      <c r="H328" s="122">
        <f t="shared" si="10"/>
        <v>400</v>
      </c>
      <c r="I328" s="520">
        <f>+(105+950)/4</f>
        <v>263.75</v>
      </c>
      <c r="J328" s="514">
        <f t="shared" ref="J328:J391" si="11">SUM(H328:I328)</f>
        <v>663.75</v>
      </c>
      <c r="K328" s="262"/>
      <c r="L328" s="267"/>
    </row>
    <row r="329" spans="1:12" ht="20.25" customHeight="1" thickBot="1" x14ac:dyDescent="0.25">
      <c r="A329" s="117">
        <v>324</v>
      </c>
      <c r="B329" s="3" t="s">
        <v>708</v>
      </c>
      <c r="C329" s="8" t="s">
        <v>5278</v>
      </c>
      <c r="D329" s="9" t="s">
        <v>709</v>
      </c>
      <c r="E329" s="4" t="s">
        <v>703</v>
      </c>
      <c r="F329" s="101" t="s">
        <v>17</v>
      </c>
      <c r="G329" s="128">
        <v>50</v>
      </c>
      <c r="H329" s="157">
        <f t="shared" si="10"/>
        <v>450</v>
      </c>
      <c r="I329" s="522">
        <f>+(105+950)/4</f>
        <v>263.75</v>
      </c>
      <c r="J329" s="519">
        <f t="shared" si="11"/>
        <v>713.75</v>
      </c>
      <c r="K329" s="268"/>
      <c r="L329" s="269"/>
    </row>
    <row r="330" spans="1:12" ht="20.25" customHeight="1" x14ac:dyDescent="0.2">
      <c r="A330" s="108">
        <v>325</v>
      </c>
      <c r="B330" s="171" t="s">
        <v>710</v>
      </c>
      <c r="C330" s="110" t="s">
        <v>5279</v>
      </c>
      <c r="D330" s="111" t="s">
        <v>711</v>
      </c>
      <c r="E330" s="112" t="s">
        <v>712</v>
      </c>
      <c r="F330" s="113" t="s">
        <v>8</v>
      </c>
      <c r="G330" s="119">
        <v>50</v>
      </c>
      <c r="H330" s="120">
        <f t="shared" si="10"/>
        <v>450</v>
      </c>
      <c r="I330" s="511">
        <f>+(165+700)/4</f>
        <v>216.25</v>
      </c>
      <c r="J330" s="512">
        <f t="shared" si="11"/>
        <v>666.25</v>
      </c>
      <c r="K330" s="260"/>
      <c r="L330" s="365"/>
    </row>
    <row r="331" spans="1:12" ht="20.25" customHeight="1" x14ac:dyDescent="0.2">
      <c r="A331" s="114">
        <v>326</v>
      </c>
      <c r="B331" s="1" t="s">
        <v>713</v>
      </c>
      <c r="C331" s="6" t="s">
        <v>5280</v>
      </c>
      <c r="D331" s="7" t="s">
        <v>714</v>
      </c>
      <c r="E331" s="2" t="s">
        <v>712</v>
      </c>
      <c r="F331" s="99" t="s">
        <v>11</v>
      </c>
      <c r="G331" s="121">
        <v>50</v>
      </c>
      <c r="H331" s="122">
        <f t="shared" si="10"/>
        <v>450</v>
      </c>
      <c r="I331" s="520">
        <f>+(165+700)/4</f>
        <v>216.25</v>
      </c>
      <c r="J331" s="514">
        <f t="shared" si="11"/>
        <v>666.25</v>
      </c>
      <c r="K331" s="262"/>
      <c r="L331" s="267"/>
    </row>
    <row r="332" spans="1:12" ht="20.25" customHeight="1" x14ac:dyDescent="0.2">
      <c r="A332" s="114">
        <v>327</v>
      </c>
      <c r="B332" s="1" t="s">
        <v>715</v>
      </c>
      <c r="C332" s="6" t="s">
        <v>5095</v>
      </c>
      <c r="D332" s="7" t="s">
        <v>716</v>
      </c>
      <c r="E332" s="2" t="s">
        <v>712</v>
      </c>
      <c r="F332" s="99" t="s">
        <v>14</v>
      </c>
      <c r="G332" s="121">
        <v>50</v>
      </c>
      <c r="H332" s="122">
        <f t="shared" si="10"/>
        <v>450</v>
      </c>
      <c r="I332" s="520">
        <f>+(165+700)/4</f>
        <v>216.25</v>
      </c>
      <c r="J332" s="514">
        <f t="shared" si="11"/>
        <v>666.25</v>
      </c>
      <c r="K332" s="262"/>
      <c r="L332" s="267"/>
    </row>
    <row r="333" spans="1:12" ht="20.25" customHeight="1" thickBot="1" x14ac:dyDescent="0.25">
      <c r="A333" s="158">
        <v>328</v>
      </c>
      <c r="B333" s="159" t="s">
        <v>717</v>
      </c>
      <c r="C333" s="160" t="s">
        <v>5281</v>
      </c>
      <c r="D333" s="161" t="s">
        <v>718</v>
      </c>
      <c r="E333" s="162" t="s">
        <v>712</v>
      </c>
      <c r="F333" s="163" t="s">
        <v>17</v>
      </c>
      <c r="G333" s="164">
        <v>50</v>
      </c>
      <c r="H333" s="153">
        <f t="shared" si="10"/>
        <v>450</v>
      </c>
      <c r="I333" s="521">
        <f>+(165+700)/4</f>
        <v>216.25</v>
      </c>
      <c r="J333" s="516">
        <f t="shared" si="11"/>
        <v>666.25</v>
      </c>
      <c r="K333" s="277"/>
      <c r="L333" s="364"/>
    </row>
    <row r="334" spans="1:12" ht="20.25" customHeight="1" x14ac:dyDescent="0.2">
      <c r="A334" s="115">
        <v>329</v>
      </c>
      <c r="B334" s="64" t="s">
        <v>719</v>
      </c>
      <c r="C334" s="65" t="s">
        <v>5217</v>
      </c>
      <c r="D334" s="66" t="s">
        <v>720</v>
      </c>
      <c r="E334" s="67" t="s">
        <v>721</v>
      </c>
      <c r="F334" s="98" t="s">
        <v>8</v>
      </c>
      <c r="G334" s="123">
        <v>100</v>
      </c>
      <c r="H334" s="124">
        <f t="shared" si="10"/>
        <v>400</v>
      </c>
      <c r="I334" s="513">
        <f>+(685+745)/4</f>
        <v>357.5</v>
      </c>
      <c r="J334" s="517">
        <f t="shared" si="11"/>
        <v>757.5</v>
      </c>
      <c r="K334" s="264"/>
      <c r="L334" s="363"/>
    </row>
    <row r="335" spans="1:12" ht="20.25" customHeight="1" x14ac:dyDescent="0.2">
      <c r="A335" s="114">
        <v>330</v>
      </c>
      <c r="B335" s="1" t="s">
        <v>722</v>
      </c>
      <c r="C335" s="6" t="s">
        <v>5154</v>
      </c>
      <c r="D335" s="7" t="s">
        <v>723</v>
      </c>
      <c r="E335" s="2" t="s">
        <v>721</v>
      </c>
      <c r="F335" s="99" t="s">
        <v>11</v>
      </c>
      <c r="G335" s="121">
        <v>50</v>
      </c>
      <c r="H335" s="122">
        <f t="shared" si="10"/>
        <v>450</v>
      </c>
      <c r="I335" s="520">
        <f>+(685+745)/4</f>
        <v>357.5</v>
      </c>
      <c r="J335" s="514">
        <f t="shared" si="11"/>
        <v>807.5</v>
      </c>
      <c r="K335" s="262"/>
      <c r="L335" s="267"/>
    </row>
    <row r="336" spans="1:12" ht="20.25" customHeight="1" x14ac:dyDescent="0.2">
      <c r="A336" s="114">
        <v>331</v>
      </c>
      <c r="B336" s="1" t="s">
        <v>724</v>
      </c>
      <c r="C336" s="6" t="s">
        <v>5162</v>
      </c>
      <c r="D336" s="7" t="s">
        <v>725</v>
      </c>
      <c r="E336" s="2" t="s">
        <v>721</v>
      </c>
      <c r="F336" s="99" t="s">
        <v>14</v>
      </c>
      <c r="G336" s="121">
        <v>50</v>
      </c>
      <c r="H336" s="122">
        <f t="shared" si="10"/>
        <v>450</v>
      </c>
      <c r="I336" s="520">
        <f>+(685+745)/4</f>
        <v>357.5</v>
      </c>
      <c r="J336" s="514">
        <f t="shared" si="11"/>
        <v>807.5</v>
      </c>
      <c r="K336" s="262"/>
      <c r="L336" s="267"/>
    </row>
    <row r="337" spans="1:12" ht="20.25" customHeight="1" thickBot="1" x14ac:dyDescent="0.25">
      <c r="A337" s="117">
        <v>332</v>
      </c>
      <c r="B337" s="3" t="s">
        <v>726</v>
      </c>
      <c r="C337" s="8" t="s">
        <v>5282</v>
      </c>
      <c r="D337" s="9" t="s">
        <v>727</v>
      </c>
      <c r="E337" s="4" t="s">
        <v>721</v>
      </c>
      <c r="F337" s="101" t="s">
        <v>17</v>
      </c>
      <c r="G337" s="128">
        <v>50</v>
      </c>
      <c r="H337" s="157">
        <f t="shared" si="10"/>
        <v>450</v>
      </c>
      <c r="I337" s="522">
        <f>+(685+745)/4</f>
        <v>357.5</v>
      </c>
      <c r="J337" s="519">
        <f t="shared" si="11"/>
        <v>807.5</v>
      </c>
      <c r="K337" s="268"/>
      <c r="L337" s="269"/>
    </row>
    <row r="338" spans="1:12" ht="20.25" customHeight="1" x14ac:dyDescent="0.2">
      <c r="A338" s="108">
        <v>333</v>
      </c>
      <c r="B338" s="171" t="s">
        <v>728</v>
      </c>
      <c r="C338" s="110" t="s">
        <v>5283</v>
      </c>
      <c r="D338" s="111" t="s">
        <v>729</v>
      </c>
      <c r="E338" s="112" t="s">
        <v>730</v>
      </c>
      <c r="F338" s="113" t="s">
        <v>8</v>
      </c>
      <c r="G338" s="119">
        <v>100</v>
      </c>
      <c r="H338" s="120">
        <f t="shared" si="10"/>
        <v>400</v>
      </c>
      <c r="I338" s="511">
        <f>+(735+400)/4</f>
        <v>283.75</v>
      </c>
      <c r="J338" s="512">
        <f t="shared" si="11"/>
        <v>683.75</v>
      </c>
      <c r="K338" s="260"/>
      <c r="L338" s="365"/>
    </row>
    <row r="339" spans="1:12" ht="20.25" customHeight="1" x14ac:dyDescent="0.2">
      <c r="A339" s="114">
        <v>334</v>
      </c>
      <c r="B339" s="1" t="s">
        <v>731</v>
      </c>
      <c r="C339" s="6" t="s">
        <v>5102</v>
      </c>
      <c r="D339" s="7" t="s">
        <v>732</v>
      </c>
      <c r="E339" s="2" t="s">
        <v>730</v>
      </c>
      <c r="F339" s="99" t="s">
        <v>11</v>
      </c>
      <c r="G339" s="121">
        <v>50</v>
      </c>
      <c r="H339" s="122">
        <f t="shared" si="10"/>
        <v>450</v>
      </c>
      <c r="I339" s="520">
        <f>+(735+400)/4</f>
        <v>283.75</v>
      </c>
      <c r="J339" s="514">
        <f t="shared" si="11"/>
        <v>733.75</v>
      </c>
      <c r="K339" s="262"/>
      <c r="L339" s="267"/>
    </row>
    <row r="340" spans="1:12" ht="20.25" customHeight="1" x14ac:dyDescent="0.2">
      <c r="A340" s="114">
        <v>335</v>
      </c>
      <c r="B340" s="1" t="s">
        <v>733</v>
      </c>
      <c r="C340" s="6" t="s">
        <v>5084</v>
      </c>
      <c r="D340" s="7" t="s">
        <v>734</v>
      </c>
      <c r="E340" s="2" t="s">
        <v>730</v>
      </c>
      <c r="F340" s="99" t="s">
        <v>14</v>
      </c>
      <c r="G340" s="121">
        <v>150</v>
      </c>
      <c r="H340" s="122">
        <f t="shared" si="10"/>
        <v>350</v>
      </c>
      <c r="I340" s="520">
        <f>+(735+400)/4</f>
        <v>283.75</v>
      </c>
      <c r="J340" s="514">
        <f t="shared" si="11"/>
        <v>633.75</v>
      </c>
      <c r="K340" s="262"/>
      <c r="L340" s="267"/>
    </row>
    <row r="341" spans="1:12" ht="20.25" customHeight="1" thickBot="1" x14ac:dyDescent="0.25">
      <c r="A341" s="158">
        <v>336</v>
      </c>
      <c r="B341" s="159" t="s">
        <v>735</v>
      </c>
      <c r="C341" s="160" t="s">
        <v>5035</v>
      </c>
      <c r="D341" s="161" t="s">
        <v>736</v>
      </c>
      <c r="E341" s="162" t="s">
        <v>730</v>
      </c>
      <c r="F341" s="163" t="s">
        <v>17</v>
      </c>
      <c r="G341" s="164">
        <v>50</v>
      </c>
      <c r="H341" s="153">
        <f t="shared" si="10"/>
        <v>450</v>
      </c>
      <c r="I341" s="521">
        <f>+(735+400)/4</f>
        <v>283.75</v>
      </c>
      <c r="J341" s="516">
        <f t="shared" si="11"/>
        <v>733.75</v>
      </c>
      <c r="K341" s="277"/>
      <c r="L341" s="364"/>
    </row>
    <row r="342" spans="1:12" ht="20.25" customHeight="1" x14ac:dyDescent="0.2">
      <c r="A342" s="115">
        <v>337</v>
      </c>
      <c r="B342" s="64" t="s">
        <v>737</v>
      </c>
      <c r="C342" s="65" t="s">
        <v>5066</v>
      </c>
      <c r="D342" s="66" t="s">
        <v>738</v>
      </c>
      <c r="E342" s="67" t="s">
        <v>739</v>
      </c>
      <c r="F342" s="98" t="s">
        <v>8</v>
      </c>
      <c r="G342" s="123">
        <v>50</v>
      </c>
      <c r="H342" s="124">
        <f t="shared" si="10"/>
        <v>450</v>
      </c>
      <c r="I342" s="513">
        <f>+(665+1475)/4</f>
        <v>535</v>
      </c>
      <c r="J342" s="517">
        <f t="shared" si="11"/>
        <v>985</v>
      </c>
      <c r="K342" s="264"/>
      <c r="L342" s="363"/>
    </row>
    <row r="343" spans="1:12" ht="20.25" customHeight="1" x14ac:dyDescent="0.2">
      <c r="A343" s="114">
        <v>338</v>
      </c>
      <c r="B343" s="1" t="s">
        <v>740</v>
      </c>
      <c r="C343" s="6" t="s">
        <v>5274</v>
      </c>
      <c r="D343" s="7" t="s">
        <v>741</v>
      </c>
      <c r="E343" s="2" t="s">
        <v>739</v>
      </c>
      <c r="F343" s="99" t="s">
        <v>11</v>
      </c>
      <c r="G343" s="121">
        <v>50</v>
      </c>
      <c r="H343" s="122">
        <f t="shared" si="10"/>
        <v>450</v>
      </c>
      <c r="I343" s="520">
        <f>+(665+1475)/4</f>
        <v>535</v>
      </c>
      <c r="J343" s="514">
        <f t="shared" si="11"/>
        <v>985</v>
      </c>
      <c r="K343" s="262"/>
      <c r="L343" s="267"/>
    </row>
    <row r="344" spans="1:12" ht="20.25" customHeight="1" x14ac:dyDescent="0.2">
      <c r="A344" s="114">
        <v>339</v>
      </c>
      <c r="B344" s="1" t="s">
        <v>742</v>
      </c>
      <c r="C344" s="6" t="s">
        <v>5046</v>
      </c>
      <c r="D344" s="7" t="s">
        <v>743</v>
      </c>
      <c r="E344" s="2" t="s">
        <v>739</v>
      </c>
      <c r="F344" s="99" t="s">
        <v>14</v>
      </c>
      <c r="G344" s="121">
        <v>50</v>
      </c>
      <c r="H344" s="122">
        <f t="shared" si="10"/>
        <v>450</v>
      </c>
      <c r="I344" s="520">
        <f>+(665+1475)/4</f>
        <v>535</v>
      </c>
      <c r="J344" s="514">
        <f t="shared" si="11"/>
        <v>985</v>
      </c>
      <c r="K344" s="262"/>
      <c r="L344" s="267"/>
    </row>
    <row r="345" spans="1:12" ht="20.25" customHeight="1" thickBot="1" x14ac:dyDescent="0.25">
      <c r="A345" s="117">
        <v>340</v>
      </c>
      <c r="B345" s="3" t="s">
        <v>744</v>
      </c>
      <c r="C345" s="8" t="s">
        <v>5284</v>
      </c>
      <c r="D345" s="9" t="s">
        <v>745</v>
      </c>
      <c r="E345" s="4" t="s">
        <v>739</v>
      </c>
      <c r="F345" s="101" t="s">
        <v>17</v>
      </c>
      <c r="G345" s="128">
        <v>50</v>
      </c>
      <c r="H345" s="157">
        <f t="shared" si="10"/>
        <v>450</v>
      </c>
      <c r="I345" s="522">
        <f>+(665+1475)/4</f>
        <v>535</v>
      </c>
      <c r="J345" s="519">
        <f t="shared" si="11"/>
        <v>985</v>
      </c>
      <c r="K345" s="268"/>
      <c r="L345" s="269"/>
    </row>
    <row r="346" spans="1:12" ht="20.25" customHeight="1" x14ac:dyDescent="0.2">
      <c r="A346" s="108">
        <v>341</v>
      </c>
      <c r="B346" s="171" t="s">
        <v>746</v>
      </c>
      <c r="C346" s="110" t="s">
        <v>5285</v>
      </c>
      <c r="D346" s="111" t="s">
        <v>747</v>
      </c>
      <c r="E346" s="112" t="s">
        <v>748</v>
      </c>
      <c r="F346" s="113" t="s">
        <v>8</v>
      </c>
      <c r="G346" s="119">
        <v>50</v>
      </c>
      <c r="H346" s="120">
        <f t="shared" si="10"/>
        <v>450</v>
      </c>
      <c r="I346" s="511">
        <f>+(1610+1980)/4</f>
        <v>897.5</v>
      </c>
      <c r="J346" s="512">
        <f t="shared" si="11"/>
        <v>1347.5</v>
      </c>
      <c r="K346" s="260"/>
      <c r="L346" s="365"/>
    </row>
    <row r="347" spans="1:12" ht="20.25" customHeight="1" x14ac:dyDescent="0.2">
      <c r="A347" s="114">
        <v>342</v>
      </c>
      <c r="B347" s="1" t="s">
        <v>749</v>
      </c>
      <c r="C347" s="6" t="s">
        <v>5286</v>
      </c>
      <c r="D347" s="7" t="s">
        <v>750</v>
      </c>
      <c r="E347" s="2" t="s">
        <v>748</v>
      </c>
      <c r="F347" s="99" t="s">
        <v>11</v>
      </c>
      <c r="G347" s="121">
        <v>150</v>
      </c>
      <c r="H347" s="122">
        <f t="shared" si="10"/>
        <v>350</v>
      </c>
      <c r="I347" s="520">
        <f>+(1610+1980)/4</f>
        <v>897.5</v>
      </c>
      <c r="J347" s="514">
        <f t="shared" si="11"/>
        <v>1247.5</v>
      </c>
      <c r="K347" s="262"/>
      <c r="L347" s="267"/>
    </row>
    <row r="348" spans="1:12" ht="20.25" customHeight="1" x14ac:dyDescent="0.2">
      <c r="A348" s="114">
        <v>343</v>
      </c>
      <c r="B348" s="1" t="s">
        <v>751</v>
      </c>
      <c r="C348" s="6" t="s">
        <v>5287</v>
      </c>
      <c r="D348" s="7" t="s">
        <v>752</v>
      </c>
      <c r="E348" s="2" t="s">
        <v>748</v>
      </c>
      <c r="F348" s="99" t="s">
        <v>14</v>
      </c>
      <c r="G348" s="121">
        <v>150</v>
      </c>
      <c r="H348" s="122">
        <f t="shared" si="10"/>
        <v>350</v>
      </c>
      <c r="I348" s="520">
        <f>+(1610+1980)/4</f>
        <v>897.5</v>
      </c>
      <c r="J348" s="514">
        <f t="shared" si="11"/>
        <v>1247.5</v>
      </c>
      <c r="K348" s="262"/>
      <c r="L348" s="267"/>
    </row>
    <row r="349" spans="1:12" ht="20.25" customHeight="1" thickBot="1" x14ac:dyDescent="0.25">
      <c r="A349" s="158">
        <v>344</v>
      </c>
      <c r="B349" s="159" t="s">
        <v>753</v>
      </c>
      <c r="C349" s="160" t="s">
        <v>5210</v>
      </c>
      <c r="D349" s="161" t="s">
        <v>754</v>
      </c>
      <c r="E349" s="162" t="s">
        <v>748</v>
      </c>
      <c r="F349" s="163" t="s">
        <v>17</v>
      </c>
      <c r="G349" s="164">
        <v>100</v>
      </c>
      <c r="H349" s="153">
        <f t="shared" si="10"/>
        <v>400</v>
      </c>
      <c r="I349" s="521">
        <f>+(1610+1980)/4</f>
        <v>897.5</v>
      </c>
      <c r="J349" s="516">
        <f t="shared" si="11"/>
        <v>1297.5</v>
      </c>
      <c r="K349" s="277"/>
      <c r="L349" s="364"/>
    </row>
    <row r="350" spans="1:12" ht="20.25" customHeight="1" x14ac:dyDescent="0.2">
      <c r="A350" s="115">
        <v>345</v>
      </c>
      <c r="B350" s="64" t="s">
        <v>755</v>
      </c>
      <c r="C350" s="65" t="s">
        <v>5288</v>
      </c>
      <c r="D350" s="66" t="s">
        <v>756</v>
      </c>
      <c r="E350" s="67" t="s">
        <v>757</v>
      </c>
      <c r="F350" s="98" t="s">
        <v>8</v>
      </c>
      <c r="G350" s="123">
        <v>50</v>
      </c>
      <c r="H350" s="124">
        <f t="shared" si="10"/>
        <v>450</v>
      </c>
      <c r="I350" s="513">
        <f>+(0+525)/4</f>
        <v>131.25</v>
      </c>
      <c r="J350" s="517">
        <f t="shared" si="11"/>
        <v>581.25</v>
      </c>
      <c r="K350" s="264"/>
      <c r="L350" s="363"/>
    </row>
    <row r="351" spans="1:12" ht="20.25" customHeight="1" x14ac:dyDescent="0.2">
      <c r="A351" s="114">
        <v>346</v>
      </c>
      <c r="B351" s="1" t="s">
        <v>758</v>
      </c>
      <c r="C351" s="6" t="s">
        <v>5289</v>
      </c>
      <c r="D351" s="7" t="s">
        <v>759</v>
      </c>
      <c r="E351" s="2" t="s">
        <v>757</v>
      </c>
      <c r="F351" s="99" t="s">
        <v>11</v>
      </c>
      <c r="G351" s="121">
        <v>50</v>
      </c>
      <c r="H351" s="122">
        <f t="shared" si="10"/>
        <v>450</v>
      </c>
      <c r="I351" s="520">
        <f>+(0+525)/4</f>
        <v>131.25</v>
      </c>
      <c r="J351" s="514">
        <f t="shared" si="11"/>
        <v>581.25</v>
      </c>
      <c r="K351" s="262"/>
      <c r="L351" s="267"/>
    </row>
    <row r="352" spans="1:12" ht="20.25" customHeight="1" x14ac:dyDescent="0.2">
      <c r="A352" s="114">
        <v>347</v>
      </c>
      <c r="B352" s="1" t="s">
        <v>760</v>
      </c>
      <c r="C352" s="6" t="s">
        <v>5290</v>
      </c>
      <c r="D352" s="7" t="s">
        <v>761</v>
      </c>
      <c r="E352" s="2" t="s">
        <v>757</v>
      </c>
      <c r="F352" s="99" t="s">
        <v>14</v>
      </c>
      <c r="G352" s="121">
        <v>50</v>
      </c>
      <c r="H352" s="122">
        <f t="shared" si="10"/>
        <v>450</v>
      </c>
      <c r="I352" s="520">
        <f>+(0+525)/4</f>
        <v>131.25</v>
      </c>
      <c r="J352" s="514">
        <f t="shared" si="11"/>
        <v>581.25</v>
      </c>
      <c r="K352" s="262"/>
      <c r="L352" s="267"/>
    </row>
    <row r="353" spans="1:12" ht="20.25" customHeight="1" thickBot="1" x14ac:dyDescent="0.25">
      <c r="A353" s="117">
        <v>348</v>
      </c>
      <c r="B353" s="3" t="s">
        <v>762</v>
      </c>
      <c r="C353" s="8" t="s">
        <v>5291</v>
      </c>
      <c r="D353" s="9" t="s">
        <v>763</v>
      </c>
      <c r="E353" s="4" t="s">
        <v>757</v>
      </c>
      <c r="F353" s="101" t="s">
        <v>17</v>
      </c>
      <c r="G353" s="128">
        <v>50</v>
      </c>
      <c r="H353" s="157">
        <f t="shared" si="10"/>
        <v>450</v>
      </c>
      <c r="I353" s="522">
        <f>+(0+525)/4</f>
        <v>131.25</v>
      </c>
      <c r="J353" s="519">
        <f t="shared" si="11"/>
        <v>581.25</v>
      </c>
      <c r="K353" s="268"/>
      <c r="L353" s="269"/>
    </row>
    <row r="354" spans="1:12" ht="20.25" customHeight="1" x14ac:dyDescent="0.2">
      <c r="A354" s="108">
        <v>349</v>
      </c>
      <c r="B354" s="171" t="s">
        <v>764</v>
      </c>
      <c r="C354" s="110" t="s">
        <v>5292</v>
      </c>
      <c r="D354" s="111" t="s">
        <v>765</v>
      </c>
      <c r="E354" s="112" t="s">
        <v>766</v>
      </c>
      <c r="F354" s="113" t="s">
        <v>8</v>
      </c>
      <c r="G354" s="119">
        <v>100</v>
      </c>
      <c r="H354" s="120">
        <f t="shared" si="10"/>
        <v>400</v>
      </c>
      <c r="I354" s="511">
        <f>+(720+695)/4</f>
        <v>353.75</v>
      </c>
      <c r="J354" s="512">
        <f t="shared" si="11"/>
        <v>753.75</v>
      </c>
      <c r="K354" s="260"/>
      <c r="L354" s="365"/>
    </row>
    <row r="355" spans="1:12" ht="20.25" customHeight="1" x14ac:dyDescent="0.2">
      <c r="A355" s="114">
        <v>350</v>
      </c>
      <c r="B355" s="1" t="s">
        <v>767</v>
      </c>
      <c r="C355" s="6" t="s">
        <v>5293</v>
      </c>
      <c r="D355" s="7" t="s">
        <v>768</v>
      </c>
      <c r="E355" s="2" t="s">
        <v>766</v>
      </c>
      <c r="F355" s="99" t="s">
        <v>11</v>
      </c>
      <c r="G355" s="121">
        <v>100</v>
      </c>
      <c r="H355" s="122">
        <f t="shared" si="10"/>
        <v>400</v>
      </c>
      <c r="I355" s="520">
        <f>+(720+695)/4</f>
        <v>353.75</v>
      </c>
      <c r="J355" s="514">
        <f t="shared" si="11"/>
        <v>753.75</v>
      </c>
      <c r="K355" s="262"/>
      <c r="L355" s="267"/>
    </row>
    <row r="356" spans="1:12" ht="20.25" customHeight="1" x14ac:dyDescent="0.2">
      <c r="A356" s="114">
        <v>351</v>
      </c>
      <c r="B356" s="1" t="s">
        <v>769</v>
      </c>
      <c r="C356" s="6" t="s">
        <v>5098</v>
      </c>
      <c r="D356" s="7" t="s">
        <v>765</v>
      </c>
      <c r="E356" s="2" t="s">
        <v>766</v>
      </c>
      <c r="F356" s="99" t="s">
        <v>14</v>
      </c>
      <c r="G356" s="121">
        <v>100</v>
      </c>
      <c r="H356" s="122">
        <f t="shared" si="10"/>
        <v>400</v>
      </c>
      <c r="I356" s="520">
        <f>+(720+695)/4</f>
        <v>353.75</v>
      </c>
      <c r="J356" s="514">
        <f t="shared" si="11"/>
        <v>753.75</v>
      </c>
      <c r="K356" s="262"/>
      <c r="L356" s="267"/>
    </row>
    <row r="357" spans="1:12" ht="20.25" customHeight="1" thickBot="1" x14ac:dyDescent="0.25">
      <c r="A357" s="158">
        <v>352</v>
      </c>
      <c r="B357" s="159" t="s">
        <v>770</v>
      </c>
      <c r="C357" s="160" t="s">
        <v>5294</v>
      </c>
      <c r="D357" s="161" t="s">
        <v>771</v>
      </c>
      <c r="E357" s="162" t="s">
        <v>766</v>
      </c>
      <c r="F357" s="163" t="s">
        <v>17</v>
      </c>
      <c r="G357" s="164">
        <v>50</v>
      </c>
      <c r="H357" s="153">
        <f t="shared" si="10"/>
        <v>450</v>
      </c>
      <c r="I357" s="521">
        <f>+(720+695)/4</f>
        <v>353.75</v>
      </c>
      <c r="J357" s="516">
        <f t="shared" si="11"/>
        <v>803.75</v>
      </c>
      <c r="K357" s="277"/>
      <c r="L357" s="364"/>
    </row>
    <row r="358" spans="1:12" ht="20.25" customHeight="1" x14ac:dyDescent="0.2">
      <c r="A358" s="115">
        <v>353</v>
      </c>
      <c r="B358" s="61" t="s">
        <v>772</v>
      </c>
      <c r="C358" s="62" t="s">
        <v>5295</v>
      </c>
      <c r="D358" s="63" t="s">
        <v>773</v>
      </c>
      <c r="E358" s="12" t="s">
        <v>774</v>
      </c>
      <c r="F358" s="172" t="s">
        <v>8</v>
      </c>
      <c r="G358" s="173">
        <v>50</v>
      </c>
      <c r="H358" s="124">
        <f t="shared" si="10"/>
        <v>450</v>
      </c>
      <c r="I358" s="513">
        <f>+(400+595)/4</f>
        <v>248.75</v>
      </c>
      <c r="J358" s="517">
        <f t="shared" si="11"/>
        <v>698.75</v>
      </c>
      <c r="K358" s="264"/>
      <c r="L358" s="363"/>
    </row>
    <row r="359" spans="1:12" ht="20.25" customHeight="1" x14ac:dyDescent="0.2">
      <c r="A359" s="114">
        <v>354</v>
      </c>
      <c r="B359" s="47" t="s">
        <v>775</v>
      </c>
      <c r="C359" s="10" t="s">
        <v>5296</v>
      </c>
      <c r="D359" s="11" t="s">
        <v>776</v>
      </c>
      <c r="E359" s="5" t="s">
        <v>774</v>
      </c>
      <c r="F359" s="100" t="s">
        <v>11</v>
      </c>
      <c r="G359" s="125">
        <v>50</v>
      </c>
      <c r="H359" s="122">
        <f t="shared" si="10"/>
        <v>450</v>
      </c>
      <c r="I359" s="520">
        <f>+(400+595)/4</f>
        <v>248.75</v>
      </c>
      <c r="J359" s="514">
        <f t="shared" si="11"/>
        <v>698.75</v>
      </c>
      <c r="K359" s="262"/>
      <c r="L359" s="267"/>
    </row>
    <row r="360" spans="1:12" ht="20.25" customHeight="1" x14ac:dyDescent="0.2">
      <c r="A360" s="114">
        <v>355</v>
      </c>
      <c r="B360" s="47" t="s">
        <v>777</v>
      </c>
      <c r="C360" s="10" t="s">
        <v>5297</v>
      </c>
      <c r="D360" s="11" t="s">
        <v>778</v>
      </c>
      <c r="E360" s="5" t="s">
        <v>774</v>
      </c>
      <c r="F360" s="100" t="s">
        <v>14</v>
      </c>
      <c r="G360" s="125">
        <v>50</v>
      </c>
      <c r="H360" s="122">
        <f t="shared" si="10"/>
        <v>450</v>
      </c>
      <c r="I360" s="520">
        <f>+(400+595)/4</f>
        <v>248.75</v>
      </c>
      <c r="J360" s="514">
        <f t="shared" si="11"/>
        <v>698.75</v>
      </c>
      <c r="K360" s="262"/>
      <c r="L360" s="267"/>
    </row>
    <row r="361" spans="1:12" ht="20.25" customHeight="1" thickBot="1" x14ac:dyDescent="0.25">
      <c r="A361" s="117">
        <v>356</v>
      </c>
      <c r="B361" s="380" t="s">
        <v>4859</v>
      </c>
      <c r="C361" s="381" t="s">
        <v>5298</v>
      </c>
      <c r="D361" s="382" t="s">
        <v>4860</v>
      </c>
      <c r="E361" s="360" t="s">
        <v>774</v>
      </c>
      <c r="F361" s="361" t="s">
        <v>17</v>
      </c>
      <c r="G361" s="362">
        <v>150</v>
      </c>
      <c r="H361" s="157">
        <f t="shared" si="10"/>
        <v>350</v>
      </c>
      <c r="I361" s="522">
        <f>+(400+595)/4</f>
        <v>248.75</v>
      </c>
      <c r="J361" s="519">
        <f t="shared" si="11"/>
        <v>598.75</v>
      </c>
      <c r="K361" s="268"/>
      <c r="L361" s="269"/>
    </row>
    <row r="362" spans="1:12" ht="20.25" customHeight="1" x14ac:dyDescent="0.2">
      <c r="A362" s="108">
        <v>357</v>
      </c>
      <c r="B362" s="174" t="s">
        <v>779</v>
      </c>
      <c r="C362" s="175" t="s">
        <v>5299</v>
      </c>
      <c r="D362" s="176" t="s">
        <v>780</v>
      </c>
      <c r="E362" s="177" t="s">
        <v>781</v>
      </c>
      <c r="F362" s="178" t="s">
        <v>8</v>
      </c>
      <c r="G362" s="179">
        <v>50</v>
      </c>
      <c r="H362" s="120">
        <f t="shared" si="10"/>
        <v>450</v>
      </c>
      <c r="I362" s="511">
        <f>+(435+690)/4</f>
        <v>281.25</v>
      </c>
      <c r="J362" s="512">
        <f t="shared" si="11"/>
        <v>731.25</v>
      </c>
      <c r="K362" s="260"/>
      <c r="L362" s="365"/>
    </row>
    <row r="363" spans="1:12" ht="20.25" customHeight="1" x14ac:dyDescent="0.2">
      <c r="A363" s="114">
        <v>358</v>
      </c>
      <c r="B363" s="47" t="s">
        <v>782</v>
      </c>
      <c r="C363" s="10" t="s">
        <v>5300</v>
      </c>
      <c r="D363" s="11" t="s">
        <v>783</v>
      </c>
      <c r="E363" s="5" t="s">
        <v>781</v>
      </c>
      <c r="F363" s="100" t="s">
        <v>11</v>
      </c>
      <c r="G363" s="125">
        <v>50</v>
      </c>
      <c r="H363" s="122">
        <f t="shared" si="10"/>
        <v>450</v>
      </c>
      <c r="I363" s="520">
        <f>+(435+690)/4</f>
        <v>281.25</v>
      </c>
      <c r="J363" s="514">
        <f t="shared" si="11"/>
        <v>731.25</v>
      </c>
      <c r="K363" s="262"/>
      <c r="L363" s="267"/>
    </row>
    <row r="364" spans="1:12" ht="20.25" customHeight="1" x14ac:dyDescent="0.2">
      <c r="A364" s="114">
        <v>359</v>
      </c>
      <c r="B364" s="47" t="s">
        <v>4949</v>
      </c>
      <c r="C364" s="10" t="s">
        <v>5301</v>
      </c>
      <c r="D364" s="11" t="s">
        <v>4950</v>
      </c>
      <c r="E364" s="5" t="s">
        <v>781</v>
      </c>
      <c r="F364" s="100" t="s">
        <v>14</v>
      </c>
      <c r="G364" s="125">
        <v>150</v>
      </c>
      <c r="H364" s="122">
        <f t="shared" si="10"/>
        <v>350</v>
      </c>
      <c r="I364" s="520">
        <f>+(435+690)/4</f>
        <v>281.25</v>
      </c>
      <c r="J364" s="514">
        <f t="shared" si="11"/>
        <v>631.25</v>
      </c>
      <c r="K364" s="262"/>
      <c r="L364" s="267"/>
    </row>
    <row r="365" spans="1:12" ht="20.25" customHeight="1" thickBot="1" x14ac:dyDescent="0.25">
      <c r="A365" s="158">
        <v>360</v>
      </c>
      <c r="B365" s="192" t="s">
        <v>784</v>
      </c>
      <c r="C365" s="193" t="s">
        <v>5302</v>
      </c>
      <c r="D365" s="194" t="s">
        <v>785</v>
      </c>
      <c r="E365" s="195" t="s">
        <v>781</v>
      </c>
      <c r="F365" s="196" t="s">
        <v>17</v>
      </c>
      <c r="G365" s="197">
        <v>50</v>
      </c>
      <c r="H365" s="153">
        <f t="shared" si="10"/>
        <v>450</v>
      </c>
      <c r="I365" s="521">
        <f>+(435+690)/4</f>
        <v>281.25</v>
      </c>
      <c r="J365" s="516">
        <f t="shared" si="11"/>
        <v>731.25</v>
      </c>
      <c r="K365" s="277"/>
      <c r="L365" s="364"/>
    </row>
    <row r="366" spans="1:12" ht="20.25" customHeight="1" x14ac:dyDescent="0.2">
      <c r="A366" s="115">
        <v>361</v>
      </c>
      <c r="B366" s="64" t="s">
        <v>786</v>
      </c>
      <c r="C366" s="65" t="s">
        <v>5303</v>
      </c>
      <c r="D366" s="66" t="s">
        <v>787</v>
      </c>
      <c r="E366" s="67" t="s">
        <v>788</v>
      </c>
      <c r="F366" s="98" t="s">
        <v>8</v>
      </c>
      <c r="G366" s="123">
        <v>100</v>
      </c>
      <c r="H366" s="124">
        <f t="shared" si="10"/>
        <v>400</v>
      </c>
      <c r="I366" s="513">
        <f>+(540+775)/4</f>
        <v>328.75</v>
      </c>
      <c r="J366" s="517">
        <f t="shared" si="11"/>
        <v>728.75</v>
      </c>
      <c r="K366" s="264"/>
      <c r="L366" s="363"/>
    </row>
    <row r="367" spans="1:12" ht="20.25" customHeight="1" x14ac:dyDescent="0.2">
      <c r="A367" s="114">
        <v>362</v>
      </c>
      <c r="B367" s="1" t="s">
        <v>789</v>
      </c>
      <c r="C367" s="6" t="s">
        <v>5304</v>
      </c>
      <c r="D367" s="7" t="s">
        <v>790</v>
      </c>
      <c r="E367" s="2" t="s">
        <v>788</v>
      </c>
      <c r="F367" s="99" t="s">
        <v>11</v>
      </c>
      <c r="G367" s="121">
        <v>50</v>
      </c>
      <c r="H367" s="122">
        <f t="shared" si="10"/>
        <v>450</v>
      </c>
      <c r="I367" s="520">
        <f>+(540+775)/4</f>
        <v>328.75</v>
      </c>
      <c r="J367" s="514">
        <f t="shared" si="11"/>
        <v>778.75</v>
      </c>
      <c r="K367" s="262"/>
      <c r="L367" s="267"/>
    </row>
    <row r="368" spans="1:12" ht="20.25" customHeight="1" x14ac:dyDescent="0.2">
      <c r="A368" s="114">
        <v>363</v>
      </c>
      <c r="B368" s="1" t="s">
        <v>791</v>
      </c>
      <c r="C368" s="6" t="s">
        <v>5305</v>
      </c>
      <c r="D368" s="7" t="s">
        <v>792</v>
      </c>
      <c r="E368" s="2" t="s">
        <v>788</v>
      </c>
      <c r="F368" s="99" t="s">
        <v>14</v>
      </c>
      <c r="G368" s="121">
        <v>100</v>
      </c>
      <c r="H368" s="122">
        <f t="shared" si="10"/>
        <v>400</v>
      </c>
      <c r="I368" s="520">
        <f>+(540+775)/4</f>
        <v>328.75</v>
      </c>
      <c r="J368" s="514">
        <f t="shared" si="11"/>
        <v>728.75</v>
      </c>
      <c r="K368" s="262"/>
      <c r="L368" s="267"/>
    </row>
    <row r="369" spans="1:12" ht="20.25" customHeight="1" thickBot="1" x14ac:dyDescent="0.25">
      <c r="A369" s="117">
        <v>364</v>
      </c>
      <c r="B369" s="3" t="s">
        <v>793</v>
      </c>
      <c r="C369" s="8" t="s">
        <v>5306</v>
      </c>
      <c r="D369" s="9" t="s">
        <v>794</v>
      </c>
      <c r="E369" s="4" t="s">
        <v>788</v>
      </c>
      <c r="F369" s="101" t="s">
        <v>17</v>
      </c>
      <c r="G369" s="128">
        <v>100</v>
      </c>
      <c r="H369" s="157">
        <f t="shared" si="10"/>
        <v>400</v>
      </c>
      <c r="I369" s="522">
        <f>+(540+775)/4</f>
        <v>328.75</v>
      </c>
      <c r="J369" s="519">
        <f t="shared" si="11"/>
        <v>728.75</v>
      </c>
      <c r="K369" s="268"/>
      <c r="L369" s="269"/>
    </row>
    <row r="370" spans="1:12" ht="20.25" customHeight="1" x14ac:dyDescent="0.2">
      <c r="A370" s="108">
        <v>365</v>
      </c>
      <c r="B370" s="171" t="s">
        <v>795</v>
      </c>
      <c r="C370" s="110" t="s">
        <v>5307</v>
      </c>
      <c r="D370" s="111" t="s">
        <v>796</v>
      </c>
      <c r="E370" s="112" t="s">
        <v>797</v>
      </c>
      <c r="F370" s="113" t="s">
        <v>8</v>
      </c>
      <c r="G370" s="119">
        <v>50</v>
      </c>
      <c r="H370" s="120">
        <f t="shared" si="10"/>
        <v>450</v>
      </c>
      <c r="I370" s="511">
        <f>+(295+990)/4</f>
        <v>321.25</v>
      </c>
      <c r="J370" s="512">
        <f t="shared" si="11"/>
        <v>771.25</v>
      </c>
      <c r="K370" s="260"/>
      <c r="L370" s="365"/>
    </row>
    <row r="371" spans="1:12" ht="20.25" customHeight="1" x14ac:dyDescent="0.2">
      <c r="A371" s="114">
        <v>366</v>
      </c>
      <c r="B371" s="1" t="s">
        <v>798</v>
      </c>
      <c r="C371" s="6" t="s">
        <v>5308</v>
      </c>
      <c r="D371" s="7" t="s">
        <v>799</v>
      </c>
      <c r="E371" s="2" t="s">
        <v>797</v>
      </c>
      <c r="F371" s="99" t="s">
        <v>11</v>
      </c>
      <c r="G371" s="121">
        <v>50</v>
      </c>
      <c r="H371" s="122">
        <f t="shared" si="10"/>
        <v>450</v>
      </c>
      <c r="I371" s="520">
        <f>+(295+990)/4</f>
        <v>321.25</v>
      </c>
      <c r="J371" s="514">
        <f t="shared" si="11"/>
        <v>771.25</v>
      </c>
      <c r="K371" s="262"/>
      <c r="L371" s="267"/>
    </row>
    <row r="372" spans="1:12" ht="20.25" customHeight="1" x14ac:dyDescent="0.2">
      <c r="A372" s="114">
        <v>367</v>
      </c>
      <c r="B372" s="1" t="s">
        <v>800</v>
      </c>
      <c r="C372" s="6" t="s">
        <v>5309</v>
      </c>
      <c r="D372" s="7" t="s">
        <v>801</v>
      </c>
      <c r="E372" s="2" t="s">
        <v>797</v>
      </c>
      <c r="F372" s="99" t="s">
        <v>14</v>
      </c>
      <c r="G372" s="121">
        <v>50</v>
      </c>
      <c r="H372" s="122">
        <f t="shared" si="10"/>
        <v>450</v>
      </c>
      <c r="I372" s="520">
        <f>+(295+990)/4</f>
        <v>321.25</v>
      </c>
      <c r="J372" s="514">
        <f t="shared" si="11"/>
        <v>771.25</v>
      </c>
      <c r="K372" s="262"/>
      <c r="L372" s="267"/>
    </row>
    <row r="373" spans="1:12" ht="20.25" customHeight="1" thickBot="1" x14ac:dyDescent="0.25">
      <c r="A373" s="158">
        <v>368</v>
      </c>
      <c r="B373" s="159" t="s">
        <v>802</v>
      </c>
      <c r="C373" s="160" t="s">
        <v>5161</v>
      </c>
      <c r="D373" s="161" t="s">
        <v>803</v>
      </c>
      <c r="E373" s="162" t="s">
        <v>797</v>
      </c>
      <c r="F373" s="163" t="s">
        <v>17</v>
      </c>
      <c r="G373" s="164">
        <v>50</v>
      </c>
      <c r="H373" s="153">
        <f t="shared" si="10"/>
        <v>450</v>
      </c>
      <c r="I373" s="521">
        <f>+(295+990)/4</f>
        <v>321.25</v>
      </c>
      <c r="J373" s="516">
        <f t="shared" si="11"/>
        <v>771.25</v>
      </c>
      <c r="K373" s="277"/>
      <c r="L373" s="364"/>
    </row>
    <row r="374" spans="1:12" ht="20.25" customHeight="1" x14ac:dyDescent="0.2">
      <c r="A374" s="115">
        <v>369</v>
      </c>
      <c r="B374" s="64" t="s">
        <v>804</v>
      </c>
      <c r="C374" s="65" t="s">
        <v>5310</v>
      </c>
      <c r="D374" s="66" t="s">
        <v>805</v>
      </c>
      <c r="E374" s="67" t="s">
        <v>806</v>
      </c>
      <c r="F374" s="98" t="s">
        <v>8</v>
      </c>
      <c r="G374" s="123">
        <v>100</v>
      </c>
      <c r="H374" s="124">
        <f t="shared" si="10"/>
        <v>400</v>
      </c>
      <c r="I374" s="513">
        <f>+(1390+1940)/4</f>
        <v>832.5</v>
      </c>
      <c r="J374" s="517">
        <f t="shared" si="11"/>
        <v>1232.5</v>
      </c>
      <c r="K374" s="264"/>
      <c r="L374" s="363"/>
    </row>
    <row r="375" spans="1:12" ht="20.25" customHeight="1" x14ac:dyDescent="0.2">
      <c r="A375" s="114">
        <v>370</v>
      </c>
      <c r="B375" s="1" t="s">
        <v>807</v>
      </c>
      <c r="C375" s="6" t="s">
        <v>5311</v>
      </c>
      <c r="D375" s="7" t="s">
        <v>808</v>
      </c>
      <c r="E375" s="2" t="s">
        <v>806</v>
      </c>
      <c r="F375" s="99" t="s">
        <v>11</v>
      </c>
      <c r="G375" s="121">
        <v>100</v>
      </c>
      <c r="H375" s="122">
        <f t="shared" si="10"/>
        <v>400</v>
      </c>
      <c r="I375" s="520">
        <f>+(1390+1940)/4</f>
        <v>832.5</v>
      </c>
      <c r="J375" s="514">
        <f t="shared" si="11"/>
        <v>1232.5</v>
      </c>
      <c r="K375" s="262"/>
      <c r="L375" s="267"/>
    </row>
    <row r="376" spans="1:12" ht="20.25" customHeight="1" x14ac:dyDescent="0.2">
      <c r="A376" s="114">
        <v>371</v>
      </c>
      <c r="B376" s="1" t="s">
        <v>809</v>
      </c>
      <c r="C376" s="6" t="s">
        <v>5312</v>
      </c>
      <c r="D376" s="7" t="s">
        <v>810</v>
      </c>
      <c r="E376" s="2" t="s">
        <v>806</v>
      </c>
      <c r="F376" s="99" t="s">
        <v>14</v>
      </c>
      <c r="G376" s="121">
        <v>50</v>
      </c>
      <c r="H376" s="122">
        <f t="shared" si="10"/>
        <v>450</v>
      </c>
      <c r="I376" s="520">
        <f>+(1390+1940)/4</f>
        <v>832.5</v>
      </c>
      <c r="J376" s="514">
        <f t="shared" si="11"/>
        <v>1282.5</v>
      </c>
      <c r="K376" s="262"/>
      <c r="L376" s="267"/>
    </row>
    <row r="377" spans="1:12" ht="20.25" customHeight="1" thickBot="1" x14ac:dyDescent="0.25">
      <c r="A377" s="117">
        <v>372</v>
      </c>
      <c r="B377" s="3" t="s">
        <v>811</v>
      </c>
      <c r="C377" s="8" t="s">
        <v>5313</v>
      </c>
      <c r="D377" s="9" t="s">
        <v>812</v>
      </c>
      <c r="E377" s="4" t="s">
        <v>806</v>
      </c>
      <c r="F377" s="101" t="s">
        <v>17</v>
      </c>
      <c r="G377" s="128">
        <v>100</v>
      </c>
      <c r="H377" s="157">
        <f t="shared" si="10"/>
        <v>400</v>
      </c>
      <c r="I377" s="522">
        <f>+(1390+1940)/4</f>
        <v>832.5</v>
      </c>
      <c r="J377" s="519">
        <f t="shared" si="11"/>
        <v>1232.5</v>
      </c>
      <c r="K377" s="268"/>
      <c r="L377" s="269"/>
    </row>
    <row r="378" spans="1:12" ht="20.25" customHeight="1" x14ac:dyDescent="0.2">
      <c r="A378" s="108">
        <v>373</v>
      </c>
      <c r="B378" s="174" t="s">
        <v>813</v>
      </c>
      <c r="C378" s="175" t="s">
        <v>5314</v>
      </c>
      <c r="D378" s="176" t="s">
        <v>814</v>
      </c>
      <c r="E378" s="177" t="s">
        <v>815</v>
      </c>
      <c r="F378" s="178" t="s">
        <v>8</v>
      </c>
      <c r="G378" s="179">
        <v>50</v>
      </c>
      <c r="H378" s="120">
        <f t="shared" si="10"/>
        <v>450</v>
      </c>
      <c r="I378" s="511">
        <f>+(1395+1420)/4</f>
        <v>703.75</v>
      </c>
      <c r="J378" s="512">
        <f t="shared" si="11"/>
        <v>1153.75</v>
      </c>
      <c r="K378" s="260"/>
      <c r="L378" s="365"/>
    </row>
    <row r="379" spans="1:12" ht="20.25" customHeight="1" x14ac:dyDescent="0.2">
      <c r="A379" s="114">
        <v>374</v>
      </c>
      <c r="B379" s="47" t="s">
        <v>816</v>
      </c>
      <c r="C379" s="10" t="s">
        <v>5315</v>
      </c>
      <c r="D379" s="11" t="s">
        <v>817</v>
      </c>
      <c r="E379" s="5" t="s">
        <v>815</v>
      </c>
      <c r="F379" s="100" t="s">
        <v>11</v>
      </c>
      <c r="G379" s="125">
        <v>50</v>
      </c>
      <c r="H379" s="122">
        <f t="shared" si="10"/>
        <v>450</v>
      </c>
      <c r="I379" s="520">
        <f>+(1395+1420)/4</f>
        <v>703.75</v>
      </c>
      <c r="J379" s="514">
        <f t="shared" si="11"/>
        <v>1153.75</v>
      </c>
      <c r="K379" s="262"/>
      <c r="L379" s="267"/>
    </row>
    <row r="380" spans="1:12" ht="20.25" customHeight="1" x14ac:dyDescent="0.2">
      <c r="A380" s="114">
        <v>375</v>
      </c>
      <c r="B380" s="47" t="s">
        <v>818</v>
      </c>
      <c r="C380" s="10" t="s">
        <v>5316</v>
      </c>
      <c r="D380" s="11" t="s">
        <v>819</v>
      </c>
      <c r="E380" s="5" t="s">
        <v>815</v>
      </c>
      <c r="F380" s="100" t="s">
        <v>14</v>
      </c>
      <c r="G380" s="125">
        <v>150</v>
      </c>
      <c r="H380" s="122">
        <f t="shared" si="10"/>
        <v>350</v>
      </c>
      <c r="I380" s="520">
        <f>+(1395+1420)/4</f>
        <v>703.75</v>
      </c>
      <c r="J380" s="514">
        <f t="shared" si="11"/>
        <v>1053.75</v>
      </c>
      <c r="K380" s="262"/>
      <c r="L380" s="267"/>
    </row>
    <row r="381" spans="1:12" ht="20.25" customHeight="1" thickBot="1" x14ac:dyDescent="0.25">
      <c r="A381" s="158">
        <v>376</v>
      </c>
      <c r="B381" s="401" t="s">
        <v>4952</v>
      </c>
      <c r="C381" s="402" t="s">
        <v>5317</v>
      </c>
      <c r="D381" s="403" t="s">
        <v>4951</v>
      </c>
      <c r="E381" s="195" t="s">
        <v>815</v>
      </c>
      <c r="F381" s="196" t="s">
        <v>17</v>
      </c>
      <c r="G381" s="197">
        <v>50</v>
      </c>
      <c r="H381" s="153">
        <f t="shared" si="10"/>
        <v>450</v>
      </c>
      <c r="I381" s="521">
        <f>+(1395+1420)/4</f>
        <v>703.75</v>
      </c>
      <c r="J381" s="516">
        <f t="shared" si="11"/>
        <v>1153.75</v>
      </c>
      <c r="K381" s="277"/>
      <c r="L381" s="364"/>
    </row>
    <row r="382" spans="1:12" ht="20.25" customHeight="1" x14ac:dyDescent="0.2">
      <c r="A382" s="115">
        <v>377</v>
      </c>
      <c r="B382" s="64" t="s">
        <v>820</v>
      </c>
      <c r="C382" s="65" t="s">
        <v>5198</v>
      </c>
      <c r="D382" s="66" t="s">
        <v>821</v>
      </c>
      <c r="E382" s="67" t="s">
        <v>822</v>
      </c>
      <c r="F382" s="98" t="s">
        <v>8</v>
      </c>
      <c r="G382" s="123">
        <v>50</v>
      </c>
      <c r="H382" s="124">
        <f t="shared" si="10"/>
        <v>450</v>
      </c>
      <c r="I382" s="513">
        <f>+(0+0)/4</f>
        <v>0</v>
      </c>
      <c r="J382" s="517">
        <f t="shared" si="11"/>
        <v>450</v>
      </c>
      <c r="K382" s="264"/>
      <c r="L382" s="363"/>
    </row>
    <row r="383" spans="1:12" ht="20.25" customHeight="1" x14ac:dyDescent="0.2">
      <c r="A383" s="114">
        <v>378</v>
      </c>
      <c r="B383" s="1" t="s">
        <v>823</v>
      </c>
      <c r="C383" s="6" t="s">
        <v>5318</v>
      </c>
      <c r="D383" s="7" t="s">
        <v>824</v>
      </c>
      <c r="E383" s="2" t="s">
        <v>822</v>
      </c>
      <c r="F383" s="99" t="s">
        <v>11</v>
      </c>
      <c r="G383" s="121">
        <v>50</v>
      </c>
      <c r="H383" s="122">
        <f t="shared" si="10"/>
        <v>450</v>
      </c>
      <c r="I383" s="520">
        <f>+(0+0)/4</f>
        <v>0</v>
      </c>
      <c r="J383" s="514">
        <f t="shared" si="11"/>
        <v>450</v>
      </c>
      <c r="K383" s="262"/>
      <c r="L383" s="267"/>
    </row>
    <row r="384" spans="1:12" ht="20.25" customHeight="1" x14ac:dyDescent="0.2">
      <c r="A384" s="114">
        <v>379</v>
      </c>
      <c r="B384" s="1" t="s">
        <v>825</v>
      </c>
      <c r="C384" s="6" t="s">
        <v>5319</v>
      </c>
      <c r="D384" s="7" t="s">
        <v>826</v>
      </c>
      <c r="E384" s="2" t="s">
        <v>822</v>
      </c>
      <c r="F384" s="99" t="s">
        <v>14</v>
      </c>
      <c r="G384" s="121">
        <v>50</v>
      </c>
      <c r="H384" s="122">
        <f t="shared" si="10"/>
        <v>450</v>
      </c>
      <c r="I384" s="520">
        <f>+(0+0)/4</f>
        <v>0</v>
      </c>
      <c r="J384" s="514">
        <f t="shared" si="11"/>
        <v>450</v>
      </c>
      <c r="K384" s="262"/>
      <c r="L384" s="267"/>
    </row>
    <row r="385" spans="1:12" ht="20.25" customHeight="1" thickBot="1" x14ac:dyDescent="0.25">
      <c r="A385" s="117">
        <v>380</v>
      </c>
      <c r="B385" s="3" t="s">
        <v>827</v>
      </c>
      <c r="C385" s="8" t="s">
        <v>5320</v>
      </c>
      <c r="D385" s="9" t="s">
        <v>828</v>
      </c>
      <c r="E385" s="4" t="s">
        <v>822</v>
      </c>
      <c r="F385" s="101" t="s">
        <v>17</v>
      </c>
      <c r="G385" s="128">
        <v>50</v>
      </c>
      <c r="H385" s="157">
        <f t="shared" si="10"/>
        <v>450</v>
      </c>
      <c r="I385" s="522">
        <f>+(0+0)/4</f>
        <v>0</v>
      </c>
      <c r="J385" s="519">
        <f t="shared" si="11"/>
        <v>450</v>
      </c>
      <c r="K385" s="268"/>
      <c r="L385" s="269"/>
    </row>
    <row r="386" spans="1:12" ht="20.25" customHeight="1" x14ac:dyDescent="0.2">
      <c r="A386" s="108">
        <v>381</v>
      </c>
      <c r="B386" s="171" t="s">
        <v>829</v>
      </c>
      <c r="C386" s="110" t="s">
        <v>5321</v>
      </c>
      <c r="D386" s="111" t="s">
        <v>830</v>
      </c>
      <c r="E386" s="112" t="s">
        <v>831</v>
      </c>
      <c r="F386" s="113" t="s">
        <v>8</v>
      </c>
      <c r="G386" s="119">
        <v>50</v>
      </c>
      <c r="H386" s="120">
        <f t="shared" si="10"/>
        <v>450</v>
      </c>
      <c r="I386" s="511">
        <f>+(780+1235)/4</f>
        <v>503.75</v>
      </c>
      <c r="J386" s="512">
        <f t="shared" si="11"/>
        <v>953.75</v>
      </c>
      <c r="K386" s="260"/>
      <c r="L386" s="365"/>
    </row>
    <row r="387" spans="1:12" ht="20.25" customHeight="1" x14ac:dyDescent="0.2">
      <c r="A387" s="114">
        <v>382</v>
      </c>
      <c r="B387" s="1" t="s">
        <v>832</v>
      </c>
      <c r="C387" s="6" t="s">
        <v>5198</v>
      </c>
      <c r="D387" s="7" t="s">
        <v>833</v>
      </c>
      <c r="E387" s="2" t="s">
        <v>831</v>
      </c>
      <c r="F387" s="99" t="s">
        <v>11</v>
      </c>
      <c r="G387" s="121">
        <v>50</v>
      </c>
      <c r="H387" s="122">
        <f t="shared" si="10"/>
        <v>450</v>
      </c>
      <c r="I387" s="520">
        <f>+(780+1235)/4</f>
        <v>503.75</v>
      </c>
      <c r="J387" s="514">
        <f t="shared" si="11"/>
        <v>953.75</v>
      </c>
      <c r="K387" s="262"/>
      <c r="L387" s="267"/>
    </row>
    <row r="388" spans="1:12" ht="20.25" customHeight="1" x14ac:dyDescent="0.2">
      <c r="A388" s="114">
        <v>383</v>
      </c>
      <c r="B388" s="1" t="s">
        <v>834</v>
      </c>
      <c r="C388" s="6" t="s">
        <v>5322</v>
      </c>
      <c r="D388" s="7" t="s">
        <v>835</v>
      </c>
      <c r="E388" s="2" t="s">
        <v>831</v>
      </c>
      <c r="F388" s="99" t="s">
        <v>14</v>
      </c>
      <c r="G388" s="121">
        <v>50</v>
      </c>
      <c r="H388" s="122">
        <f t="shared" si="10"/>
        <v>450</v>
      </c>
      <c r="I388" s="520">
        <f>+(780+1235)/4</f>
        <v>503.75</v>
      </c>
      <c r="J388" s="514">
        <f t="shared" si="11"/>
        <v>953.75</v>
      </c>
      <c r="K388" s="262"/>
      <c r="L388" s="267"/>
    </row>
    <row r="389" spans="1:12" ht="20.25" customHeight="1" thickBot="1" x14ac:dyDescent="0.25">
      <c r="A389" s="158">
        <v>384</v>
      </c>
      <c r="B389" s="159" t="s">
        <v>836</v>
      </c>
      <c r="C389" s="160" t="s">
        <v>5323</v>
      </c>
      <c r="D389" s="161" t="s">
        <v>837</v>
      </c>
      <c r="E389" s="162" t="s">
        <v>831</v>
      </c>
      <c r="F389" s="163" t="s">
        <v>17</v>
      </c>
      <c r="G389" s="164">
        <v>50</v>
      </c>
      <c r="H389" s="153">
        <f t="shared" si="10"/>
        <v>450</v>
      </c>
      <c r="I389" s="521">
        <f>+(780+1235)/4</f>
        <v>503.75</v>
      </c>
      <c r="J389" s="516">
        <f t="shared" si="11"/>
        <v>953.75</v>
      </c>
      <c r="K389" s="277"/>
      <c r="L389" s="364"/>
    </row>
    <row r="390" spans="1:12" ht="20.25" customHeight="1" x14ac:dyDescent="0.2">
      <c r="A390" s="115">
        <v>385</v>
      </c>
      <c r="B390" s="64" t="s">
        <v>838</v>
      </c>
      <c r="C390" s="65" t="s">
        <v>5324</v>
      </c>
      <c r="D390" s="66" t="s">
        <v>839</v>
      </c>
      <c r="E390" s="67" t="s">
        <v>840</v>
      </c>
      <c r="F390" s="98" t="s">
        <v>8</v>
      </c>
      <c r="G390" s="123">
        <v>50</v>
      </c>
      <c r="H390" s="124">
        <f t="shared" si="10"/>
        <v>450</v>
      </c>
      <c r="I390" s="513">
        <f>+(330+695)/4</f>
        <v>256.25</v>
      </c>
      <c r="J390" s="517">
        <f t="shared" si="11"/>
        <v>706.25</v>
      </c>
      <c r="K390" s="264"/>
      <c r="L390" s="363"/>
    </row>
    <row r="391" spans="1:12" ht="20.25" customHeight="1" x14ac:dyDescent="0.2">
      <c r="A391" s="114">
        <v>386</v>
      </c>
      <c r="B391" s="1" t="s">
        <v>841</v>
      </c>
      <c r="C391" s="6" t="s">
        <v>5088</v>
      </c>
      <c r="D391" s="7" t="s">
        <v>842</v>
      </c>
      <c r="E391" s="2" t="s">
        <v>840</v>
      </c>
      <c r="F391" s="99" t="s">
        <v>11</v>
      </c>
      <c r="G391" s="121">
        <v>50</v>
      </c>
      <c r="H391" s="122">
        <f t="shared" ref="H391:H454" si="12">500-G391</f>
        <v>450</v>
      </c>
      <c r="I391" s="520">
        <f>+(330+695)/4</f>
        <v>256.25</v>
      </c>
      <c r="J391" s="514">
        <f t="shared" si="11"/>
        <v>706.25</v>
      </c>
      <c r="K391" s="262"/>
      <c r="L391" s="267"/>
    </row>
    <row r="392" spans="1:12" ht="20.25" customHeight="1" x14ac:dyDescent="0.2">
      <c r="A392" s="114">
        <v>387</v>
      </c>
      <c r="B392" s="1" t="s">
        <v>843</v>
      </c>
      <c r="C392" s="6" t="s">
        <v>5217</v>
      </c>
      <c r="D392" s="7" t="s">
        <v>844</v>
      </c>
      <c r="E392" s="2" t="s">
        <v>840</v>
      </c>
      <c r="F392" s="99" t="s">
        <v>14</v>
      </c>
      <c r="G392" s="121">
        <v>50</v>
      </c>
      <c r="H392" s="122">
        <f t="shared" si="12"/>
        <v>450</v>
      </c>
      <c r="I392" s="520">
        <f>+(330+695)/4</f>
        <v>256.25</v>
      </c>
      <c r="J392" s="514">
        <f t="shared" ref="J392:J455" si="13">SUM(H392:I392)</f>
        <v>706.25</v>
      </c>
      <c r="K392" s="262"/>
      <c r="L392" s="267"/>
    </row>
    <row r="393" spans="1:12" ht="20.25" customHeight="1" thickBot="1" x14ac:dyDescent="0.25">
      <c r="A393" s="117">
        <v>388</v>
      </c>
      <c r="B393" s="3" t="s">
        <v>845</v>
      </c>
      <c r="C393" s="8" t="s">
        <v>5325</v>
      </c>
      <c r="D393" s="9" t="s">
        <v>846</v>
      </c>
      <c r="E393" s="4" t="s">
        <v>840</v>
      </c>
      <c r="F393" s="101" t="s">
        <v>17</v>
      </c>
      <c r="G393" s="128">
        <v>100</v>
      </c>
      <c r="H393" s="157">
        <f t="shared" si="12"/>
        <v>400</v>
      </c>
      <c r="I393" s="522">
        <f>+(330+695)/4</f>
        <v>256.25</v>
      </c>
      <c r="J393" s="519">
        <f t="shared" si="13"/>
        <v>656.25</v>
      </c>
      <c r="K393" s="268"/>
      <c r="L393" s="269"/>
    </row>
    <row r="394" spans="1:12" ht="20.25" customHeight="1" x14ac:dyDescent="0.2">
      <c r="A394" s="108">
        <v>389</v>
      </c>
      <c r="B394" s="171" t="s">
        <v>847</v>
      </c>
      <c r="C394" s="110" t="s">
        <v>5326</v>
      </c>
      <c r="D394" s="111" t="s">
        <v>848</v>
      </c>
      <c r="E394" s="112" t="s">
        <v>849</v>
      </c>
      <c r="F394" s="113" t="s">
        <v>8</v>
      </c>
      <c r="G394" s="119">
        <v>50</v>
      </c>
      <c r="H394" s="120">
        <f t="shared" si="12"/>
        <v>450</v>
      </c>
      <c r="I394" s="511">
        <f>+(385+715)/4</f>
        <v>275</v>
      </c>
      <c r="J394" s="512">
        <f t="shared" si="13"/>
        <v>725</v>
      </c>
      <c r="K394" s="260"/>
      <c r="L394" s="365"/>
    </row>
    <row r="395" spans="1:12" ht="20.25" customHeight="1" x14ac:dyDescent="0.2">
      <c r="A395" s="114">
        <v>390</v>
      </c>
      <c r="B395" s="1" t="s">
        <v>850</v>
      </c>
      <c r="C395" s="6" t="s">
        <v>5033</v>
      </c>
      <c r="D395" s="7" t="s">
        <v>851</v>
      </c>
      <c r="E395" s="2" t="s">
        <v>849</v>
      </c>
      <c r="F395" s="99" t="s">
        <v>11</v>
      </c>
      <c r="G395" s="121">
        <v>100</v>
      </c>
      <c r="H395" s="122">
        <f t="shared" si="12"/>
        <v>400</v>
      </c>
      <c r="I395" s="520">
        <f>+(385+715)/4</f>
        <v>275</v>
      </c>
      <c r="J395" s="514">
        <f t="shared" si="13"/>
        <v>675</v>
      </c>
      <c r="K395" s="262"/>
      <c r="L395" s="267"/>
    </row>
    <row r="396" spans="1:12" ht="20.25" customHeight="1" x14ac:dyDescent="0.2">
      <c r="A396" s="114">
        <v>391</v>
      </c>
      <c r="B396" s="1" t="s">
        <v>852</v>
      </c>
      <c r="C396" s="6" t="s">
        <v>5301</v>
      </c>
      <c r="D396" s="7" t="s">
        <v>853</v>
      </c>
      <c r="E396" s="2" t="s">
        <v>849</v>
      </c>
      <c r="F396" s="99" t="s">
        <v>14</v>
      </c>
      <c r="G396" s="121">
        <v>50</v>
      </c>
      <c r="H396" s="122">
        <f t="shared" si="12"/>
        <v>450</v>
      </c>
      <c r="I396" s="520">
        <f>+(385+715)/4</f>
        <v>275</v>
      </c>
      <c r="J396" s="514">
        <f t="shared" si="13"/>
        <v>725</v>
      </c>
      <c r="K396" s="262"/>
      <c r="L396" s="267"/>
    </row>
    <row r="397" spans="1:12" ht="20.25" customHeight="1" thickBot="1" x14ac:dyDescent="0.25">
      <c r="A397" s="158">
        <v>392</v>
      </c>
      <c r="B397" s="159" t="s">
        <v>854</v>
      </c>
      <c r="C397" s="160" t="s">
        <v>5327</v>
      </c>
      <c r="D397" s="161" t="s">
        <v>165</v>
      </c>
      <c r="E397" s="162" t="s">
        <v>849</v>
      </c>
      <c r="F397" s="163" t="s">
        <v>17</v>
      </c>
      <c r="G397" s="164">
        <v>50</v>
      </c>
      <c r="H397" s="153">
        <f t="shared" si="12"/>
        <v>450</v>
      </c>
      <c r="I397" s="521">
        <f>+(385+715)/4</f>
        <v>275</v>
      </c>
      <c r="J397" s="516">
        <f t="shared" si="13"/>
        <v>725</v>
      </c>
      <c r="K397" s="277"/>
      <c r="L397" s="364"/>
    </row>
    <row r="398" spans="1:12" ht="20.25" customHeight="1" x14ac:dyDescent="0.2">
      <c r="A398" s="115">
        <v>393</v>
      </c>
      <c r="B398" s="61" t="s">
        <v>4862</v>
      </c>
      <c r="C398" s="62" t="s">
        <v>5328</v>
      </c>
      <c r="D398" s="63" t="s">
        <v>4861</v>
      </c>
      <c r="E398" s="12">
        <v>1428</v>
      </c>
      <c r="F398" s="172">
        <v>1</v>
      </c>
      <c r="G398" s="173">
        <v>50</v>
      </c>
      <c r="H398" s="124">
        <f t="shared" si="12"/>
        <v>450</v>
      </c>
      <c r="I398" s="513">
        <f>+(255+920)/4</f>
        <v>293.75</v>
      </c>
      <c r="J398" s="517">
        <f t="shared" si="13"/>
        <v>743.75</v>
      </c>
      <c r="K398" s="264"/>
      <c r="L398" s="363"/>
    </row>
    <row r="399" spans="1:12" ht="20.25" customHeight="1" x14ac:dyDescent="0.2">
      <c r="A399" s="114">
        <v>394</v>
      </c>
      <c r="B399" s="47" t="s">
        <v>855</v>
      </c>
      <c r="C399" s="10" t="s">
        <v>5329</v>
      </c>
      <c r="D399" s="11" t="s">
        <v>856</v>
      </c>
      <c r="E399" s="5" t="s">
        <v>857</v>
      </c>
      <c r="F399" s="100" t="s">
        <v>11</v>
      </c>
      <c r="G399" s="125">
        <v>150</v>
      </c>
      <c r="H399" s="122">
        <f t="shared" si="12"/>
        <v>350</v>
      </c>
      <c r="I399" s="520">
        <f>+(255+920)/4</f>
        <v>293.75</v>
      </c>
      <c r="J399" s="514">
        <f t="shared" si="13"/>
        <v>643.75</v>
      </c>
      <c r="K399" s="262"/>
      <c r="L399" s="267"/>
    </row>
    <row r="400" spans="1:12" ht="20.25" customHeight="1" x14ac:dyDescent="0.2">
      <c r="A400" s="114">
        <v>395</v>
      </c>
      <c r="B400" s="47" t="s">
        <v>858</v>
      </c>
      <c r="C400" s="10" t="s">
        <v>5317</v>
      </c>
      <c r="D400" s="11" t="s">
        <v>859</v>
      </c>
      <c r="E400" s="5" t="s">
        <v>857</v>
      </c>
      <c r="F400" s="100" t="s">
        <v>14</v>
      </c>
      <c r="G400" s="125">
        <v>100</v>
      </c>
      <c r="H400" s="122">
        <f t="shared" si="12"/>
        <v>400</v>
      </c>
      <c r="I400" s="520">
        <f>+(255+920)/4</f>
        <v>293.75</v>
      </c>
      <c r="J400" s="514">
        <f t="shared" si="13"/>
        <v>693.75</v>
      </c>
      <c r="K400" s="262"/>
      <c r="L400" s="267"/>
    </row>
    <row r="401" spans="1:12" ht="20.25" customHeight="1" thickBot="1" x14ac:dyDescent="0.25">
      <c r="A401" s="117">
        <v>396</v>
      </c>
      <c r="B401" s="357" t="s">
        <v>860</v>
      </c>
      <c r="C401" s="358" t="s">
        <v>5330</v>
      </c>
      <c r="D401" s="359" t="s">
        <v>861</v>
      </c>
      <c r="E401" s="360" t="s">
        <v>857</v>
      </c>
      <c r="F401" s="361" t="s">
        <v>17</v>
      </c>
      <c r="G401" s="362">
        <v>100</v>
      </c>
      <c r="H401" s="157">
        <f t="shared" si="12"/>
        <v>400</v>
      </c>
      <c r="I401" s="522">
        <f>+(255+920)/4</f>
        <v>293.75</v>
      </c>
      <c r="J401" s="519">
        <f t="shared" si="13"/>
        <v>693.75</v>
      </c>
      <c r="K401" s="268"/>
      <c r="L401" s="269"/>
    </row>
    <row r="402" spans="1:12" ht="20.25" customHeight="1" x14ac:dyDescent="0.2">
      <c r="A402" s="108">
        <v>397</v>
      </c>
      <c r="B402" s="171" t="s">
        <v>862</v>
      </c>
      <c r="C402" s="110" t="s">
        <v>5331</v>
      </c>
      <c r="D402" s="111" t="s">
        <v>863</v>
      </c>
      <c r="E402" s="112" t="s">
        <v>864</v>
      </c>
      <c r="F402" s="113" t="s">
        <v>8</v>
      </c>
      <c r="G402" s="119">
        <v>100</v>
      </c>
      <c r="H402" s="120">
        <f t="shared" si="12"/>
        <v>400</v>
      </c>
      <c r="I402" s="511">
        <f>+(860+1050)/4</f>
        <v>477.5</v>
      </c>
      <c r="J402" s="512">
        <f t="shared" si="13"/>
        <v>877.5</v>
      </c>
      <c r="K402" s="260"/>
      <c r="L402" s="365"/>
    </row>
    <row r="403" spans="1:12" ht="20.25" customHeight="1" x14ac:dyDescent="0.2">
      <c r="A403" s="114">
        <v>398</v>
      </c>
      <c r="B403" s="1" t="s">
        <v>865</v>
      </c>
      <c r="C403" s="6" t="s">
        <v>5332</v>
      </c>
      <c r="D403" s="7" t="s">
        <v>863</v>
      </c>
      <c r="E403" s="2" t="s">
        <v>864</v>
      </c>
      <c r="F403" s="99" t="s">
        <v>11</v>
      </c>
      <c r="G403" s="121">
        <v>100</v>
      </c>
      <c r="H403" s="122">
        <f t="shared" si="12"/>
        <v>400</v>
      </c>
      <c r="I403" s="520">
        <f>+(860+1050)/4</f>
        <v>477.5</v>
      </c>
      <c r="J403" s="514">
        <f t="shared" si="13"/>
        <v>877.5</v>
      </c>
      <c r="K403" s="262"/>
      <c r="L403" s="267"/>
    </row>
    <row r="404" spans="1:12" ht="20.25" customHeight="1" x14ac:dyDescent="0.2">
      <c r="A404" s="114">
        <v>399</v>
      </c>
      <c r="B404" s="1" t="s">
        <v>866</v>
      </c>
      <c r="C404" s="6" t="s">
        <v>5333</v>
      </c>
      <c r="D404" s="7" t="s">
        <v>867</v>
      </c>
      <c r="E404" s="2" t="s">
        <v>864</v>
      </c>
      <c r="F404" s="99" t="s">
        <v>14</v>
      </c>
      <c r="G404" s="121">
        <v>100</v>
      </c>
      <c r="H404" s="122">
        <f t="shared" si="12"/>
        <v>400</v>
      </c>
      <c r="I404" s="520">
        <f>+(860+1050)/4</f>
        <v>477.5</v>
      </c>
      <c r="J404" s="514">
        <f t="shared" si="13"/>
        <v>877.5</v>
      </c>
      <c r="K404" s="262"/>
      <c r="L404" s="267"/>
    </row>
    <row r="405" spans="1:12" ht="20.25" customHeight="1" thickBot="1" x14ac:dyDescent="0.25">
      <c r="A405" s="158">
        <v>400</v>
      </c>
      <c r="B405" s="159" t="s">
        <v>868</v>
      </c>
      <c r="C405" s="160" t="s">
        <v>5334</v>
      </c>
      <c r="D405" s="161" t="s">
        <v>869</v>
      </c>
      <c r="E405" s="162" t="s">
        <v>864</v>
      </c>
      <c r="F405" s="163" t="s">
        <v>17</v>
      </c>
      <c r="G405" s="164">
        <v>50</v>
      </c>
      <c r="H405" s="153">
        <f t="shared" si="12"/>
        <v>450</v>
      </c>
      <c r="I405" s="521">
        <f>+(860+1050)/4</f>
        <v>477.5</v>
      </c>
      <c r="J405" s="516">
        <f t="shared" si="13"/>
        <v>927.5</v>
      </c>
      <c r="K405" s="277"/>
      <c r="L405" s="364"/>
    </row>
    <row r="406" spans="1:12" ht="20.25" customHeight="1" x14ac:dyDescent="0.2">
      <c r="A406" s="115">
        <v>401</v>
      </c>
      <c r="B406" s="61" t="s">
        <v>4864</v>
      </c>
      <c r="C406" s="62" t="s">
        <v>5335</v>
      </c>
      <c r="D406" s="63" t="s">
        <v>4863</v>
      </c>
      <c r="E406" s="12" t="s">
        <v>872</v>
      </c>
      <c r="F406" s="172">
        <v>1</v>
      </c>
      <c r="G406" s="173">
        <v>50</v>
      </c>
      <c r="H406" s="124">
        <f t="shared" si="12"/>
        <v>450</v>
      </c>
      <c r="I406" s="513">
        <f>+(810+1125)/4</f>
        <v>483.75</v>
      </c>
      <c r="J406" s="517">
        <f t="shared" si="13"/>
        <v>933.75</v>
      </c>
      <c r="K406" s="264"/>
      <c r="L406" s="363"/>
    </row>
    <row r="407" spans="1:12" ht="20.25" customHeight="1" x14ac:dyDescent="0.2">
      <c r="A407" s="114">
        <v>402</v>
      </c>
      <c r="B407" s="47" t="s">
        <v>870</v>
      </c>
      <c r="C407" s="10" t="s">
        <v>5336</v>
      </c>
      <c r="D407" s="11" t="s">
        <v>871</v>
      </c>
      <c r="E407" s="5" t="s">
        <v>872</v>
      </c>
      <c r="F407" s="100" t="s">
        <v>11</v>
      </c>
      <c r="G407" s="125">
        <v>50</v>
      </c>
      <c r="H407" s="122">
        <f t="shared" si="12"/>
        <v>450</v>
      </c>
      <c r="I407" s="520">
        <f>+(810+1125)/4</f>
        <v>483.75</v>
      </c>
      <c r="J407" s="514">
        <f t="shared" si="13"/>
        <v>933.75</v>
      </c>
      <c r="K407" s="262"/>
      <c r="L407" s="267"/>
    </row>
    <row r="408" spans="1:12" ht="20.25" customHeight="1" x14ac:dyDescent="0.2">
      <c r="A408" s="114">
        <v>403</v>
      </c>
      <c r="B408" s="47" t="s">
        <v>873</v>
      </c>
      <c r="C408" s="10" t="s">
        <v>5337</v>
      </c>
      <c r="D408" s="11" t="s">
        <v>874</v>
      </c>
      <c r="E408" s="5" t="s">
        <v>872</v>
      </c>
      <c r="F408" s="100" t="s">
        <v>14</v>
      </c>
      <c r="G408" s="125">
        <v>50</v>
      </c>
      <c r="H408" s="122">
        <f t="shared" si="12"/>
        <v>450</v>
      </c>
      <c r="I408" s="520">
        <f>+(810+1125)/4</f>
        <v>483.75</v>
      </c>
      <c r="J408" s="514">
        <f t="shared" si="13"/>
        <v>933.75</v>
      </c>
      <c r="K408" s="262"/>
      <c r="L408" s="267"/>
    </row>
    <row r="409" spans="1:12" ht="20.25" customHeight="1" thickBot="1" x14ac:dyDescent="0.25">
      <c r="A409" s="117">
        <v>404</v>
      </c>
      <c r="B409" s="357" t="s">
        <v>875</v>
      </c>
      <c r="C409" s="358" t="s">
        <v>5338</v>
      </c>
      <c r="D409" s="359" t="s">
        <v>876</v>
      </c>
      <c r="E409" s="360" t="s">
        <v>872</v>
      </c>
      <c r="F409" s="361" t="s">
        <v>17</v>
      </c>
      <c r="G409" s="362">
        <v>50</v>
      </c>
      <c r="H409" s="157">
        <f t="shared" si="12"/>
        <v>450</v>
      </c>
      <c r="I409" s="522">
        <f>+(810+1125)/4</f>
        <v>483.75</v>
      </c>
      <c r="J409" s="519">
        <f t="shared" si="13"/>
        <v>933.75</v>
      </c>
      <c r="K409" s="268"/>
      <c r="L409" s="269"/>
    </row>
    <row r="410" spans="1:12" ht="20.25" customHeight="1" x14ac:dyDescent="0.2">
      <c r="A410" s="108">
        <v>405</v>
      </c>
      <c r="B410" s="174" t="s">
        <v>877</v>
      </c>
      <c r="C410" s="175" t="s">
        <v>5065</v>
      </c>
      <c r="D410" s="176" t="s">
        <v>878</v>
      </c>
      <c r="E410" s="177" t="s">
        <v>879</v>
      </c>
      <c r="F410" s="178" t="s">
        <v>8</v>
      </c>
      <c r="G410" s="179">
        <v>100</v>
      </c>
      <c r="H410" s="120">
        <f t="shared" si="12"/>
        <v>400</v>
      </c>
      <c r="I410" s="511">
        <f>+(710+1340)/4</f>
        <v>512.5</v>
      </c>
      <c r="J410" s="512">
        <f t="shared" si="13"/>
        <v>912.5</v>
      </c>
      <c r="K410" s="260"/>
      <c r="L410" s="365"/>
    </row>
    <row r="411" spans="1:12" ht="20.25" customHeight="1" x14ac:dyDescent="0.2">
      <c r="A411" s="114">
        <v>406</v>
      </c>
      <c r="B411" s="47" t="s">
        <v>880</v>
      </c>
      <c r="C411" s="10" t="s">
        <v>5339</v>
      </c>
      <c r="D411" s="11" t="s">
        <v>881</v>
      </c>
      <c r="E411" s="5" t="s">
        <v>879</v>
      </c>
      <c r="F411" s="100" t="s">
        <v>11</v>
      </c>
      <c r="G411" s="125">
        <v>100</v>
      </c>
      <c r="H411" s="122">
        <f t="shared" si="12"/>
        <v>400</v>
      </c>
      <c r="I411" s="520">
        <f>+(710+1340)/4</f>
        <v>512.5</v>
      </c>
      <c r="J411" s="514">
        <f t="shared" si="13"/>
        <v>912.5</v>
      </c>
      <c r="K411" s="262"/>
      <c r="L411" s="267"/>
    </row>
    <row r="412" spans="1:12" ht="20.25" customHeight="1" x14ac:dyDescent="0.2">
      <c r="A412" s="114">
        <v>407</v>
      </c>
      <c r="B412" s="47" t="s">
        <v>882</v>
      </c>
      <c r="C412" s="10" t="s">
        <v>5340</v>
      </c>
      <c r="D412" s="11" t="s">
        <v>883</v>
      </c>
      <c r="E412" s="5" t="s">
        <v>879</v>
      </c>
      <c r="F412" s="100" t="s">
        <v>14</v>
      </c>
      <c r="G412" s="125">
        <v>100</v>
      </c>
      <c r="H412" s="122">
        <f t="shared" si="12"/>
        <v>400</v>
      </c>
      <c r="I412" s="520">
        <f>+(710+1340)/4</f>
        <v>512.5</v>
      </c>
      <c r="J412" s="514">
        <f t="shared" si="13"/>
        <v>912.5</v>
      </c>
      <c r="K412" s="262"/>
      <c r="L412" s="267"/>
    </row>
    <row r="413" spans="1:12" ht="20.25" customHeight="1" thickBot="1" x14ac:dyDescent="0.25">
      <c r="A413" s="158">
        <v>408</v>
      </c>
      <c r="B413" s="192" t="s">
        <v>884</v>
      </c>
      <c r="C413" s="193" t="s">
        <v>5341</v>
      </c>
      <c r="D413" s="194" t="s">
        <v>885</v>
      </c>
      <c r="E413" s="195" t="s">
        <v>879</v>
      </c>
      <c r="F413" s="196" t="s">
        <v>17</v>
      </c>
      <c r="G413" s="197">
        <v>100</v>
      </c>
      <c r="H413" s="153">
        <f t="shared" si="12"/>
        <v>400</v>
      </c>
      <c r="I413" s="521">
        <f>+(710+1340)/4</f>
        <v>512.5</v>
      </c>
      <c r="J413" s="516">
        <f t="shared" si="13"/>
        <v>912.5</v>
      </c>
      <c r="K413" s="277"/>
      <c r="L413" s="364"/>
    </row>
    <row r="414" spans="1:12" ht="20.25" customHeight="1" x14ac:dyDescent="0.2">
      <c r="A414" s="115">
        <v>409</v>
      </c>
      <c r="B414" s="64" t="s">
        <v>886</v>
      </c>
      <c r="C414" s="65" t="s">
        <v>5141</v>
      </c>
      <c r="D414" s="66" t="s">
        <v>887</v>
      </c>
      <c r="E414" s="67" t="s">
        <v>888</v>
      </c>
      <c r="F414" s="98" t="s">
        <v>8</v>
      </c>
      <c r="G414" s="123">
        <v>100</v>
      </c>
      <c r="H414" s="124">
        <f t="shared" si="12"/>
        <v>400</v>
      </c>
      <c r="I414" s="513">
        <f>+(800+1165)/4</f>
        <v>491.25</v>
      </c>
      <c r="J414" s="517">
        <f t="shared" si="13"/>
        <v>891.25</v>
      </c>
      <c r="K414" s="264"/>
      <c r="L414" s="363"/>
    </row>
    <row r="415" spans="1:12" ht="20.25" customHeight="1" x14ac:dyDescent="0.2">
      <c r="A415" s="114">
        <v>410</v>
      </c>
      <c r="B415" s="1" t="s">
        <v>889</v>
      </c>
      <c r="C415" s="6" t="s">
        <v>5342</v>
      </c>
      <c r="D415" s="7" t="s">
        <v>890</v>
      </c>
      <c r="E415" s="2" t="s">
        <v>888</v>
      </c>
      <c r="F415" s="99" t="s">
        <v>11</v>
      </c>
      <c r="G415" s="121">
        <v>50</v>
      </c>
      <c r="H415" s="122">
        <f t="shared" si="12"/>
        <v>450</v>
      </c>
      <c r="I415" s="520">
        <f>+(800+1165)/4</f>
        <v>491.25</v>
      </c>
      <c r="J415" s="514">
        <f t="shared" si="13"/>
        <v>941.25</v>
      </c>
      <c r="K415" s="262"/>
      <c r="L415" s="267"/>
    </row>
    <row r="416" spans="1:12" ht="20.25" customHeight="1" x14ac:dyDescent="0.2">
      <c r="A416" s="114">
        <v>411</v>
      </c>
      <c r="B416" s="1" t="s">
        <v>891</v>
      </c>
      <c r="C416" s="6" t="s">
        <v>5146</v>
      </c>
      <c r="D416" s="7" t="s">
        <v>892</v>
      </c>
      <c r="E416" s="2" t="s">
        <v>888</v>
      </c>
      <c r="F416" s="99" t="s">
        <v>14</v>
      </c>
      <c r="G416" s="121">
        <v>50</v>
      </c>
      <c r="H416" s="122">
        <f t="shared" si="12"/>
        <v>450</v>
      </c>
      <c r="I416" s="520">
        <f>+(800+1165)/4</f>
        <v>491.25</v>
      </c>
      <c r="J416" s="514">
        <f t="shared" si="13"/>
        <v>941.25</v>
      </c>
      <c r="K416" s="262"/>
      <c r="L416" s="267"/>
    </row>
    <row r="417" spans="1:36" ht="20.25" customHeight="1" thickBot="1" x14ac:dyDescent="0.25">
      <c r="A417" s="117">
        <v>412</v>
      </c>
      <c r="B417" s="3" t="s">
        <v>893</v>
      </c>
      <c r="C417" s="8" t="s">
        <v>5343</v>
      </c>
      <c r="D417" s="9" t="s">
        <v>894</v>
      </c>
      <c r="E417" s="4" t="s">
        <v>888</v>
      </c>
      <c r="F417" s="101" t="s">
        <v>17</v>
      </c>
      <c r="G417" s="128">
        <v>50</v>
      </c>
      <c r="H417" s="157">
        <f t="shared" si="12"/>
        <v>450</v>
      </c>
      <c r="I417" s="522">
        <f>+(800+1165)/4</f>
        <v>491.25</v>
      </c>
      <c r="J417" s="519">
        <f t="shared" si="13"/>
        <v>941.25</v>
      </c>
      <c r="K417" s="268"/>
      <c r="L417" s="269"/>
    </row>
    <row r="418" spans="1:36" ht="20.25" customHeight="1" x14ac:dyDescent="0.2">
      <c r="A418" s="108">
        <v>413</v>
      </c>
      <c r="B418" s="171" t="s">
        <v>895</v>
      </c>
      <c r="C418" s="110" t="s">
        <v>5012</v>
      </c>
      <c r="D418" s="111" t="s">
        <v>896</v>
      </c>
      <c r="E418" s="112" t="s">
        <v>897</v>
      </c>
      <c r="F418" s="113" t="s">
        <v>8</v>
      </c>
      <c r="G418" s="119">
        <v>100</v>
      </c>
      <c r="H418" s="120">
        <f t="shared" si="12"/>
        <v>400</v>
      </c>
      <c r="I418" s="511">
        <f>+(0+1100)/4</f>
        <v>275</v>
      </c>
      <c r="J418" s="512">
        <f t="shared" si="13"/>
        <v>675</v>
      </c>
      <c r="K418" s="260"/>
      <c r="L418" s="365"/>
    </row>
    <row r="419" spans="1:36" ht="20.25" customHeight="1" x14ac:dyDescent="0.2">
      <c r="A419" s="114">
        <v>414</v>
      </c>
      <c r="B419" s="1" t="s">
        <v>898</v>
      </c>
      <c r="C419" s="6" t="s">
        <v>5344</v>
      </c>
      <c r="D419" s="7" t="s">
        <v>899</v>
      </c>
      <c r="E419" s="2" t="s">
        <v>897</v>
      </c>
      <c r="F419" s="99" t="s">
        <v>11</v>
      </c>
      <c r="G419" s="121">
        <v>100</v>
      </c>
      <c r="H419" s="122">
        <f t="shared" si="12"/>
        <v>400</v>
      </c>
      <c r="I419" s="520">
        <f>+(0+1100)/4</f>
        <v>275</v>
      </c>
      <c r="J419" s="514">
        <f t="shared" si="13"/>
        <v>675</v>
      </c>
      <c r="K419" s="262"/>
      <c r="L419" s="267"/>
    </row>
    <row r="420" spans="1:36" ht="20.25" customHeight="1" x14ac:dyDescent="0.2">
      <c r="A420" s="114">
        <v>415</v>
      </c>
      <c r="B420" s="1" t="s">
        <v>900</v>
      </c>
      <c r="C420" s="6" t="s">
        <v>5140</v>
      </c>
      <c r="D420" s="7" t="s">
        <v>901</v>
      </c>
      <c r="E420" s="2" t="s">
        <v>897</v>
      </c>
      <c r="F420" s="99" t="s">
        <v>14</v>
      </c>
      <c r="G420" s="121">
        <v>50</v>
      </c>
      <c r="H420" s="122">
        <f t="shared" si="12"/>
        <v>450</v>
      </c>
      <c r="I420" s="520">
        <f>+(0+1100)/4</f>
        <v>275</v>
      </c>
      <c r="J420" s="514">
        <f t="shared" si="13"/>
        <v>725</v>
      </c>
      <c r="K420" s="262"/>
      <c r="L420" s="267"/>
    </row>
    <row r="421" spans="1:36" s="37" customFormat="1" ht="20.25" customHeight="1" thickBot="1" x14ac:dyDescent="0.25">
      <c r="A421" s="147">
        <v>416</v>
      </c>
      <c r="B421" s="148" t="s">
        <v>902</v>
      </c>
      <c r="C421" s="198" t="s">
        <v>5345</v>
      </c>
      <c r="D421" s="150" t="s">
        <v>903</v>
      </c>
      <c r="E421" s="151" t="s">
        <v>897</v>
      </c>
      <c r="F421" s="149" t="s">
        <v>17</v>
      </c>
      <c r="G421" s="152">
        <v>100</v>
      </c>
      <c r="H421" s="247">
        <f t="shared" si="12"/>
        <v>400</v>
      </c>
      <c r="I421" s="527">
        <f>+(0+1100)/4</f>
        <v>275</v>
      </c>
      <c r="J421" s="528">
        <f t="shared" si="13"/>
        <v>675</v>
      </c>
      <c r="K421" s="387" t="s">
        <v>4996</v>
      </c>
      <c r="L421" s="364">
        <v>5500</v>
      </c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1:36" ht="20.25" customHeight="1" x14ac:dyDescent="0.2">
      <c r="A422" s="115">
        <v>417</v>
      </c>
      <c r="B422" s="64" t="s">
        <v>904</v>
      </c>
      <c r="C422" s="65" t="s">
        <v>5346</v>
      </c>
      <c r="D422" s="66" t="s">
        <v>905</v>
      </c>
      <c r="E422" s="67" t="s">
        <v>906</v>
      </c>
      <c r="F422" s="98" t="s">
        <v>8</v>
      </c>
      <c r="G422" s="123">
        <v>50</v>
      </c>
      <c r="H422" s="124">
        <f t="shared" si="12"/>
        <v>450</v>
      </c>
      <c r="I422" s="513">
        <f>+(470+745)/4</f>
        <v>303.75</v>
      </c>
      <c r="J422" s="517">
        <f t="shared" si="13"/>
        <v>753.75</v>
      </c>
      <c r="K422" s="264"/>
      <c r="L422" s="363"/>
    </row>
    <row r="423" spans="1:36" ht="20.25" customHeight="1" x14ac:dyDescent="0.2">
      <c r="A423" s="114">
        <v>418</v>
      </c>
      <c r="B423" s="1" t="s">
        <v>907</v>
      </c>
      <c r="C423" s="6" t="s">
        <v>5294</v>
      </c>
      <c r="D423" s="7" t="s">
        <v>526</v>
      </c>
      <c r="E423" s="2" t="s">
        <v>906</v>
      </c>
      <c r="F423" s="99" t="s">
        <v>11</v>
      </c>
      <c r="G423" s="121">
        <v>100</v>
      </c>
      <c r="H423" s="122">
        <f t="shared" si="12"/>
        <v>400</v>
      </c>
      <c r="I423" s="520">
        <f>+(470+745)/4</f>
        <v>303.75</v>
      </c>
      <c r="J423" s="514">
        <f t="shared" si="13"/>
        <v>703.75</v>
      </c>
      <c r="K423" s="262"/>
      <c r="L423" s="267"/>
    </row>
    <row r="424" spans="1:36" ht="20.25" customHeight="1" x14ac:dyDescent="0.2">
      <c r="A424" s="114">
        <v>419</v>
      </c>
      <c r="B424" s="1" t="s">
        <v>908</v>
      </c>
      <c r="C424" s="6" t="s">
        <v>5347</v>
      </c>
      <c r="D424" s="7" t="s">
        <v>909</v>
      </c>
      <c r="E424" s="2" t="s">
        <v>906</v>
      </c>
      <c r="F424" s="99" t="s">
        <v>14</v>
      </c>
      <c r="G424" s="121">
        <v>50</v>
      </c>
      <c r="H424" s="122">
        <f t="shared" si="12"/>
        <v>450</v>
      </c>
      <c r="I424" s="520">
        <f>+(470+745)/4</f>
        <v>303.75</v>
      </c>
      <c r="J424" s="514">
        <f t="shared" si="13"/>
        <v>753.75</v>
      </c>
      <c r="K424" s="262"/>
      <c r="L424" s="267"/>
    </row>
    <row r="425" spans="1:36" ht="20.25" customHeight="1" thickBot="1" x14ac:dyDescent="0.25">
      <c r="A425" s="117">
        <v>420</v>
      </c>
      <c r="B425" s="3" t="s">
        <v>910</v>
      </c>
      <c r="C425" s="8" t="s">
        <v>5348</v>
      </c>
      <c r="D425" s="9" t="s">
        <v>911</v>
      </c>
      <c r="E425" s="4" t="s">
        <v>906</v>
      </c>
      <c r="F425" s="101" t="s">
        <v>17</v>
      </c>
      <c r="G425" s="128">
        <v>50</v>
      </c>
      <c r="H425" s="157">
        <f t="shared" si="12"/>
        <v>450</v>
      </c>
      <c r="I425" s="522">
        <f>+(470+745)/4</f>
        <v>303.75</v>
      </c>
      <c r="J425" s="519">
        <f t="shared" si="13"/>
        <v>753.75</v>
      </c>
      <c r="K425" s="268"/>
      <c r="L425" s="269"/>
    </row>
    <row r="426" spans="1:36" ht="20.25" customHeight="1" x14ac:dyDescent="0.2">
      <c r="A426" s="108">
        <v>421</v>
      </c>
      <c r="B426" s="171" t="s">
        <v>912</v>
      </c>
      <c r="C426" s="110" t="s">
        <v>5349</v>
      </c>
      <c r="D426" s="111" t="s">
        <v>913</v>
      </c>
      <c r="E426" s="112" t="s">
        <v>914</v>
      </c>
      <c r="F426" s="113" t="s">
        <v>8</v>
      </c>
      <c r="G426" s="119">
        <v>100</v>
      </c>
      <c r="H426" s="120">
        <f t="shared" si="12"/>
        <v>400</v>
      </c>
      <c r="I426" s="511">
        <f>+(790+955)/4</f>
        <v>436.25</v>
      </c>
      <c r="J426" s="512">
        <f t="shared" si="13"/>
        <v>836.25</v>
      </c>
      <c r="K426" s="260"/>
      <c r="L426" s="365"/>
    </row>
    <row r="427" spans="1:36" ht="20.25" customHeight="1" x14ac:dyDescent="0.2">
      <c r="A427" s="114">
        <v>422</v>
      </c>
      <c r="B427" s="1" t="s">
        <v>915</v>
      </c>
      <c r="C427" s="6" t="s">
        <v>5350</v>
      </c>
      <c r="D427" s="7" t="s">
        <v>916</v>
      </c>
      <c r="E427" s="2" t="s">
        <v>914</v>
      </c>
      <c r="F427" s="99" t="s">
        <v>11</v>
      </c>
      <c r="G427" s="121">
        <v>100</v>
      </c>
      <c r="H427" s="122">
        <f t="shared" si="12"/>
        <v>400</v>
      </c>
      <c r="I427" s="520">
        <f>+(790+955)/4</f>
        <v>436.25</v>
      </c>
      <c r="J427" s="514">
        <f t="shared" si="13"/>
        <v>836.25</v>
      </c>
      <c r="K427" s="262"/>
      <c r="L427" s="267"/>
    </row>
    <row r="428" spans="1:36" ht="20.25" customHeight="1" x14ac:dyDescent="0.2">
      <c r="A428" s="114">
        <v>423</v>
      </c>
      <c r="B428" s="1" t="s">
        <v>917</v>
      </c>
      <c r="C428" s="6" t="s">
        <v>5269</v>
      </c>
      <c r="D428" s="7" t="s">
        <v>918</v>
      </c>
      <c r="E428" s="2" t="s">
        <v>914</v>
      </c>
      <c r="F428" s="99" t="s">
        <v>14</v>
      </c>
      <c r="G428" s="121">
        <v>150</v>
      </c>
      <c r="H428" s="122">
        <f t="shared" si="12"/>
        <v>350</v>
      </c>
      <c r="I428" s="520">
        <f>+(790+955)/4</f>
        <v>436.25</v>
      </c>
      <c r="J428" s="514">
        <f t="shared" si="13"/>
        <v>786.25</v>
      </c>
      <c r="K428" s="262"/>
      <c r="L428" s="267"/>
    </row>
    <row r="429" spans="1:36" ht="20.25" customHeight="1" thickBot="1" x14ac:dyDescent="0.25">
      <c r="A429" s="158">
        <v>424</v>
      </c>
      <c r="B429" s="159" t="s">
        <v>919</v>
      </c>
      <c r="C429" s="160" t="s">
        <v>5351</v>
      </c>
      <c r="D429" s="161" t="s">
        <v>920</v>
      </c>
      <c r="E429" s="162" t="s">
        <v>914</v>
      </c>
      <c r="F429" s="163" t="s">
        <v>17</v>
      </c>
      <c r="G429" s="164">
        <v>150</v>
      </c>
      <c r="H429" s="153">
        <f t="shared" si="12"/>
        <v>350</v>
      </c>
      <c r="I429" s="521">
        <f>+(790+955)/4</f>
        <v>436.25</v>
      </c>
      <c r="J429" s="516">
        <f t="shared" si="13"/>
        <v>786.25</v>
      </c>
      <c r="K429" s="277"/>
      <c r="L429" s="364"/>
    </row>
    <row r="430" spans="1:36" ht="20.25" customHeight="1" x14ac:dyDescent="0.2">
      <c r="A430" s="115">
        <v>425</v>
      </c>
      <c r="B430" s="64" t="s">
        <v>921</v>
      </c>
      <c r="C430" s="65" t="s">
        <v>5352</v>
      </c>
      <c r="D430" s="66" t="s">
        <v>922</v>
      </c>
      <c r="E430" s="67" t="s">
        <v>923</v>
      </c>
      <c r="F430" s="98" t="s">
        <v>8</v>
      </c>
      <c r="G430" s="123">
        <v>50</v>
      </c>
      <c r="H430" s="124">
        <f t="shared" si="12"/>
        <v>450</v>
      </c>
      <c r="I430" s="513">
        <f>+(0+595)/4</f>
        <v>148.75</v>
      </c>
      <c r="J430" s="517">
        <f t="shared" si="13"/>
        <v>598.75</v>
      </c>
      <c r="K430" s="264"/>
      <c r="L430" s="363"/>
    </row>
    <row r="431" spans="1:36" ht="20.25" customHeight="1" x14ac:dyDescent="0.2">
      <c r="A431" s="114">
        <v>426</v>
      </c>
      <c r="B431" s="1" t="s">
        <v>924</v>
      </c>
      <c r="C431" s="6" t="s">
        <v>5353</v>
      </c>
      <c r="D431" s="7" t="s">
        <v>925</v>
      </c>
      <c r="E431" s="2" t="s">
        <v>923</v>
      </c>
      <c r="F431" s="99" t="s">
        <v>11</v>
      </c>
      <c r="G431" s="121">
        <v>50</v>
      </c>
      <c r="H431" s="122">
        <f t="shared" si="12"/>
        <v>450</v>
      </c>
      <c r="I431" s="520">
        <f>+(0+595)/4</f>
        <v>148.75</v>
      </c>
      <c r="J431" s="514">
        <f t="shared" si="13"/>
        <v>598.75</v>
      </c>
      <c r="K431" s="262"/>
      <c r="L431" s="267"/>
    </row>
    <row r="432" spans="1:36" ht="20.25" customHeight="1" x14ac:dyDescent="0.2">
      <c r="A432" s="114">
        <v>427</v>
      </c>
      <c r="B432" s="1" t="s">
        <v>926</v>
      </c>
      <c r="C432" s="6" t="s">
        <v>5354</v>
      </c>
      <c r="D432" s="7" t="s">
        <v>927</v>
      </c>
      <c r="E432" s="2" t="s">
        <v>923</v>
      </c>
      <c r="F432" s="99" t="s">
        <v>14</v>
      </c>
      <c r="G432" s="121">
        <v>50</v>
      </c>
      <c r="H432" s="122">
        <f t="shared" si="12"/>
        <v>450</v>
      </c>
      <c r="I432" s="520">
        <f>+(0+595)/4</f>
        <v>148.75</v>
      </c>
      <c r="J432" s="514">
        <f t="shared" si="13"/>
        <v>598.75</v>
      </c>
      <c r="K432" s="262"/>
      <c r="L432" s="267"/>
    </row>
    <row r="433" spans="1:12" ht="20.25" customHeight="1" thickBot="1" x14ac:dyDescent="0.25">
      <c r="A433" s="117">
        <v>428</v>
      </c>
      <c r="B433" s="3" t="s">
        <v>928</v>
      </c>
      <c r="C433" s="8" t="s">
        <v>5355</v>
      </c>
      <c r="D433" s="9" t="s">
        <v>929</v>
      </c>
      <c r="E433" s="4" t="s">
        <v>923</v>
      </c>
      <c r="F433" s="101" t="s">
        <v>17</v>
      </c>
      <c r="G433" s="128">
        <v>50</v>
      </c>
      <c r="H433" s="157">
        <f t="shared" si="12"/>
        <v>450</v>
      </c>
      <c r="I433" s="522">
        <f>+(0+595)/4</f>
        <v>148.75</v>
      </c>
      <c r="J433" s="519">
        <f t="shared" si="13"/>
        <v>598.75</v>
      </c>
      <c r="K433" s="268"/>
      <c r="L433" s="269"/>
    </row>
    <row r="434" spans="1:12" ht="20.25" customHeight="1" x14ac:dyDescent="0.2">
      <c r="A434" s="108">
        <v>429</v>
      </c>
      <c r="B434" s="171" t="s">
        <v>930</v>
      </c>
      <c r="C434" s="110" t="s">
        <v>5229</v>
      </c>
      <c r="D434" s="111" t="s">
        <v>931</v>
      </c>
      <c r="E434" s="112" t="s">
        <v>932</v>
      </c>
      <c r="F434" s="113" t="s">
        <v>8</v>
      </c>
      <c r="G434" s="119">
        <v>50</v>
      </c>
      <c r="H434" s="120">
        <f t="shared" si="12"/>
        <v>450</v>
      </c>
      <c r="I434" s="511">
        <f>+(455+645)/4</f>
        <v>275</v>
      </c>
      <c r="J434" s="512">
        <f t="shared" si="13"/>
        <v>725</v>
      </c>
      <c r="K434" s="260"/>
      <c r="L434" s="365"/>
    </row>
    <row r="435" spans="1:12" ht="20.25" customHeight="1" x14ac:dyDescent="0.2">
      <c r="A435" s="114">
        <v>430</v>
      </c>
      <c r="B435" s="1" t="s">
        <v>933</v>
      </c>
      <c r="C435" s="6" t="s">
        <v>5356</v>
      </c>
      <c r="D435" s="7" t="s">
        <v>934</v>
      </c>
      <c r="E435" s="2" t="s">
        <v>932</v>
      </c>
      <c r="F435" s="99" t="s">
        <v>11</v>
      </c>
      <c r="G435" s="121">
        <v>50</v>
      </c>
      <c r="H435" s="122">
        <f t="shared" si="12"/>
        <v>450</v>
      </c>
      <c r="I435" s="520">
        <f>+(455+645)/4</f>
        <v>275</v>
      </c>
      <c r="J435" s="514">
        <f t="shared" si="13"/>
        <v>725</v>
      </c>
      <c r="K435" s="262"/>
      <c r="L435" s="267"/>
    </row>
    <row r="436" spans="1:12" ht="20.25" customHeight="1" x14ac:dyDescent="0.2">
      <c r="A436" s="118">
        <v>431</v>
      </c>
      <c r="B436" s="49" t="s">
        <v>935</v>
      </c>
      <c r="C436" s="43" t="s">
        <v>5357</v>
      </c>
      <c r="D436" s="42" t="s">
        <v>936</v>
      </c>
      <c r="E436" s="44" t="s">
        <v>932</v>
      </c>
      <c r="F436" s="103" t="s">
        <v>14</v>
      </c>
      <c r="G436" s="133">
        <v>150</v>
      </c>
      <c r="H436" s="134">
        <f t="shared" si="12"/>
        <v>350</v>
      </c>
      <c r="I436" s="534">
        <f>+(455+645)/4</f>
        <v>275</v>
      </c>
      <c r="J436" s="535">
        <f t="shared" si="13"/>
        <v>625</v>
      </c>
      <c r="K436" s="272" t="s">
        <v>4999</v>
      </c>
      <c r="L436" s="273">
        <v>1200</v>
      </c>
    </row>
    <row r="437" spans="1:12" ht="20.25" customHeight="1" thickBot="1" x14ac:dyDescent="0.25">
      <c r="A437" s="158">
        <v>432</v>
      </c>
      <c r="B437" s="159" t="s">
        <v>937</v>
      </c>
      <c r="C437" s="160" t="s">
        <v>5358</v>
      </c>
      <c r="D437" s="161" t="s">
        <v>938</v>
      </c>
      <c r="E437" s="162" t="s">
        <v>932</v>
      </c>
      <c r="F437" s="163" t="s">
        <v>17</v>
      </c>
      <c r="G437" s="164">
        <v>50</v>
      </c>
      <c r="H437" s="153">
        <f t="shared" si="12"/>
        <v>450</v>
      </c>
      <c r="I437" s="521">
        <f>+(455+645)/4</f>
        <v>275</v>
      </c>
      <c r="J437" s="516">
        <f t="shared" si="13"/>
        <v>725</v>
      </c>
      <c r="K437" s="277"/>
      <c r="L437" s="364"/>
    </row>
    <row r="438" spans="1:12" ht="20.25" customHeight="1" x14ac:dyDescent="0.2">
      <c r="A438" s="115">
        <v>433</v>
      </c>
      <c r="B438" s="61" t="s">
        <v>4866</v>
      </c>
      <c r="C438" s="62" t="s">
        <v>5359</v>
      </c>
      <c r="D438" s="63" t="s">
        <v>4865</v>
      </c>
      <c r="E438" s="12">
        <v>1502</v>
      </c>
      <c r="F438" s="172">
        <v>1</v>
      </c>
      <c r="G438" s="173">
        <v>50</v>
      </c>
      <c r="H438" s="124">
        <f t="shared" si="12"/>
        <v>450</v>
      </c>
      <c r="I438" s="513">
        <f>+(1295+1395)/4</f>
        <v>672.5</v>
      </c>
      <c r="J438" s="517">
        <f t="shared" si="13"/>
        <v>1122.5</v>
      </c>
      <c r="K438" s="264"/>
      <c r="L438" s="363"/>
    </row>
    <row r="439" spans="1:12" ht="20.25" customHeight="1" x14ac:dyDescent="0.2">
      <c r="A439" s="114">
        <v>434</v>
      </c>
      <c r="B439" s="47" t="s">
        <v>939</v>
      </c>
      <c r="C439" s="10" t="s">
        <v>5197</v>
      </c>
      <c r="D439" s="11" t="s">
        <v>940</v>
      </c>
      <c r="E439" s="5" t="s">
        <v>941</v>
      </c>
      <c r="F439" s="100" t="s">
        <v>11</v>
      </c>
      <c r="G439" s="125">
        <v>50</v>
      </c>
      <c r="H439" s="122">
        <f t="shared" si="12"/>
        <v>450</v>
      </c>
      <c r="I439" s="520">
        <f>+(1295+1395)/4</f>
        <v>672.5</v>
      </c>
      <c r="J439" s="514">
        <f t="shared" si="13"/>
        <v>1122.5</v>
      </c>
      <c r="K439" s="262"/>
      <c r="L439" s="267"/>
    </row>
    <row r="440" spans="1:12" ht="20.25" customHeight="1" x14ac:dyDescent="0.2">
      <c r="A440" s="114">
        <v>435</v>
      </c>
      <c r="B440" s="47" t="s">
        <v>942</v>
      </c>
      <c r="C440" s="10" t="s">
        <v>5360</v>
      </c>
      <c r="D440" s="11" t="s">
        <v>303</v>
      </c>
      <c r="E440" s="5" t="s">
        <v>941</v>
      </c>
      <c r="F440" s="100" t="s">
        <v>14</v>
      </c>
      <c r="G440" s="125">
        <v>50</v>
      </c>
      <c r="H440" s="122">
        <f t="shared" si="12"/>
        <v>450</v>
      </c>
      <c r="I440" s="520">
        <f>+(1295+1395)/4</f>
        <v>672.5</v>
      </c>
      <c r="J440" s="514">
        <f t="shared" si="13"/>
        <v>1122.5</v>
      </c>
      <c r="K440" s="262"/>
      <c r="L440" s="267"/>
    </row>
    <row r="441" spans="1:12" ht="20.25" customHeight="1" thickBot="1" x14ac:dyDescent="0.25">
      <c r="A441" s="117">
        <v>436</v>
      </c>
      <c r="B441" s="357" t="s">
        <v>943</v>
      </c>
      <c r="C441" s="358" t="s">
        <v>5361</v>
      </c>
      <c r="D441" s="359" t="s">
        <v>944</v>
      </c>
      <c r="E441" s="360" t="s">
        <v>941</v>
      </c>
      <c r="F441" s="361" t="s">
        <v>17</v>
      </c>
      <c r="G441" s="362">
        <v>50</v>
      </c>
      <c r="H441" s="157">
        <f t="shared" si="12"/>
        <v>450</v>
      </c>
      <c r="I441" s="522">
        <f>+(1295+1395)/4</f>
        <v>672.5</v>
      </c>
      <c r="J441" s="519">
        <f t="shared" si="13"/>
        <v>1122.5</v>
      </c>
      <c r="K441" s="268"/>
      <c r="L441" s="269"/>
    </row>
    <row r="442" spans="1:12" ht="20.25" customHeight="1" x14ac:dyDescent="0.2">
      <c r="A442" s="108">
        <v>437</v>
      </c>
      <c r="B442" s="171" t="s">
        <v>945</v>
      </c>
      <c r="C442" s="110" t="s">
        <v>5362</v>
      </c>
      <c r="D442" s="111" t="s">
        <v>946</v>
      </c>
      <c r="E442" s="112" t="s">
        <v>947</v>
      </c>
      <c r="F442" s="113" t="s">
        <v>8</v>
      </c>
      <c r="G442" s="119">
        <v>50</v>
      </c>
      <c r="H442" s="120">
        <f t="shared" si="12"/>
        <v>450</v>
      </c>
      <c r="I442" s="511">
        <f>+(435+1175)/4</f>
        <v>402.5</v>
      </c>
      <c r="J442" s="512">
        <f t="shared" si="13"/>
        <v>852.5</v>
      </c>
      <c r="K442" s="260"/>
      <c r="L442" s="365"/>
    </row>
    <row r="443" spans="1:12" ht="20.25" customHeight="1" x14ac:dyDescent="0.2">
      <c r="A443" s="114">
        <v>438</v>
      </c>
      <c r="B443" s="1" t="s">
        <v>948</v>
      </c>
      <c r="C443" s="6" t="s">
        <v>5363</v>
      </c>
      <c r="D443" s="7" t="s">
        <v>949</v>
      </c>
      <c r="E443" s="2" t="s">
        <v>947</v>
      </c>
      <c r="F443" s="99" t="s">
        <v>11</v>
      </c>
      <c r="G443" s="121">
        <v>50</v>
      </c>
      <c r="H443" s="122">
        <f t="shared" si="12"/>
        <v>450</v>
      </c>
      <c r="I443" s="520">
        <f>+(435+1175)/4</f>
        <v>402.5</v>
      </c>
      <c r="J443" s="514">
        <f t="shared" si="13"/>
        <v>852.5</v>
      </c>
      <c r="K443" s="262"/>
      <c r="L443" s="267"/>
    </row>
    <row r="444" spans="1:12" ht="20.25" customHeight="1" x14ac:dyDescent="0.2">
      <c r="A444" s="114">
        <v>439</v>
      </c>
      <c r="B444" s="1" t="s">
        <v>950</v>
      </c>
      <c r="C444" s="6" t="s">
        <v>5364</v>
      </c>
      <c r="D444" s="7" t="s">
        <v>951</v>
      </c>
      <c r="E444" s="2" t="s">
        <v>947</v>
      </c>
      <c r="F444" s="99" t="s">
        <v>14</v>
      </c>
      <c r="G444" s="121">
        <v>50</v>
      </c>
      <c r="H444" s="122">
        <f t="shared" si="12"/>
        <v>450</v>
      </c>
      <c r="I444" s="520">
        <f>+(435+1175)/4</f>
        <v>402.5</v>
      </c>
      <c r="J444" s="514">
        <f t="shared" si="13"/>
        <v>852.5</v>
      </c>
      <c r="K444" s="262"/>
      <c r="L444" s="267"/>
    </row>
    <row r="445" spans="1:12" ht="20.25" customHeight="1" thickBot="1" x14ac:dyDescent="0.25">
      <c r="A445" s="158">
        <v>440</v>
      </c>
      <c r="B445" s="159" t="s">
        <v>952</v>
      </c>
      <c r="C445" s="160" t="s">
        <v>5365</v>
      </c>
      <c r="D445" s="161" t="s">
        <v>953</v>
      </c>
      <c r="E445" s="162" t="s">
        <v>947</v>
      </c>
      <c r="F445" s="163" t="s">
        <v>17</v>
      </c>
      <c r="G445" s="164">
        <v>50</v>
      </c>
      <c r="H445" s="153">
        <f t="shared" si="12"/>
        <v>450</v>
      </c>
      <c r="I445" s="521">
        <f>+(435+1175)/4</f>
        <v>402.5</v>
      </c>
      <c r="J445" s="516">
        <f t="shared" si="13"/>
        <v>852.5</v>
      </c>
      <c r="K445" s="277"/>
      <c r="L445" s="364"/>
    </row>
    <row r="446" spans="1:12" ht="20.25" customHeight="1" x14ac:dyDescent="0.2">
      <c r="A446" s="115">
        <v>441</v>
      </c>
      <c r="B446" s="64" t="s">
        <v>954</v>
      </c>
      <c r="C446" s="65" t="s">
        <v>5366</v>
      </c>
      <c r="D446" s="66" t="s">
        <v>955</v>
      </c>
      <c r="E446" s="67" t="s">
        <v>956</v>
      </c>
      <c r="F446" s="98" t="s">
        <v>8</v>
      </c>
      <c r="G446" s="123">
        <v>50</v>
      </c>
      <c r="H446" s="124">
        <f t="shared" si="12"/>
        <v>450</v>
      </c>
      <c r="I446" s="513">
        <f>+(945+1240)/4</f>
        <v>546.25</v>
      </c>
      <c r="J446" s="517">
        <f t="shared" si="13"/>
        <v>996.25</v>
      </c>
      <c r="K446" s="264"/>
      <c r="L446" s="363"/>
    </row>
    <row r="447" spans="1:12" ht="20.25" customHeight="1" x14ac:dyDescent="0.2">
      <c r="A447" s="114">
        <v>442</v>
      </c>
      <c r="B447" s="1" t="s">
        <v>957</v>
      </c>
      <c r="C447" s="6" t="s">
        <v>5367</v>
      </c>
      <c r="D447" s="7" t="s">
        <v>958</v>
      </c>
      <c r="E447" s="2" t="s">
        <v>956</v>
      </c>
      <c r="F447" s="99" t="s">
        <v>11</v>
      </c>
      <c r="G447" s="121">
        <v>50</v>
      </c>
      <c r="H447" s="122">
        <f t="shared" si="12"/>
        <v>450</v>
      </c>
      <c r="I447" s="520">
        <f>+(945+1240)/4</f>
        <v>546.25</v>
      </c>
      <c r="J447" s="514">
        <f t="shared" si="13"/>
        <v>996.25</v>
      </c>
      <c r="K447" s="262"/>
      <c r="L447" s="267"/>
    </row>
    <row r="448" spans="1:12" ht="20.25" customHeight="1" x14ac:dyDescent="0.2">
      <c r="A448" s="114">
        <v>443</v>
      </c>
      <c r="B448" s="1" t="s">
        <v>959</v>
      </c>
      <c r="C448" s="6" t="s">
        <v>5368</v>
      </c>
      <c r="D448" s="7" t="s">
        <v>960</v>
      </c>
      <c r="E448" s="2" t="s">
        <v>956</v>
      </c>
      <c r="F448" s="99" t="s">
        <v>14</v>
      </c>
      <c r="G448" s="121">
        <v>50</v>
      </c>
      <c r="H448" s="122">
        <f t="shared" si="12"/>
        <v>450</v>
      </c>
      <c r="I448" s="520">
        <f>+(945+1240)/4</f>
        <v>546.25</v>
      </c>
      <c r="J448" s="514">
        <f t="shared" si="13"/>
        <v>996.25</v>
      </c>
      <c r="K448" s="262"/>
      <c r="L448" s="267"/>
    </row>
    <row r="449" spans="1:12" ht="20.25" customHeight="1" thickBot="1" x14ac:dyDescent="0.25">
      <c r="A449" s="117">
        <v>444</v>
      </c>
      <c r="B449" s="3" t="s">
        <v>961</v>
      </c>
      <c r="C449" s="8" t="s">
        <v>5051</v>
      </c>
      <c r="D449" s="9" t="s">
        <v>962</v>
      </c>
      <c r="E449" s="4" t="s">
        <v>956</v>
      </c>
      <c r="F449" s="101" t="s">
        <v>17</v>
      </c>
      <c r="G449" s="128">
        <v>50</v>
      </c>
      <c r="H449" s="157">
        <f t="shared" si="12"/>
        <v>450</v>
      </c>
      <c r="I449" s="522">
        <f>+(945+1240)/4</f>
        <v>546.25</v>
      </c>
      <c r="J449" s="519">
        <f t="shared" si="13"/>
        <v>996.25</v>
      </c>
      <c r="K449" s="268"/>
      <c r="L449" s="269"/>
    </row>
    <row r="450" spans="1:12" ht="20.25" customHeight="1" x14ac:dyDescent="0.2">
      <c r="A450" s="108">
        <v>445</v>
      </c>
      <c r="B450" s="171" t="s">
        <v>963</v>
      </c>
      <c r="C450" s="110" t="s">
        <v>5369</v>
      </c>
      <c r="D450" s="111" t="s">
        <v>964</v>
      </c>
      <c r="E450" s="112" t="s">
        <v>965</v>
      </c>
      <c r="F450" s="113" t="s">
        <v>8</v>
      </c>
      <c r="G450" s="119">
        <v>50</v>
      </c>
      <c r="H450" s="120">
        <f t="shared" si="12"/>
        <v>450</v>
      </c>
      <c r="I450" s="511">
        <f>+(425+865)/4</f>
        <v>322.5</v>
      </c>
      <c r="J450" s="512">
        <f t="shared" si="13"/>
        <v>772.5</v>
      </c>
      <c r="K450" s="260"/>
      <c r="L450" s="365"/>
    </row>
    <row r="451" spans="1:12" ht="20.25" customHeight="1" x14ac:dyDescent="0.2">
      <c r="A451" s="114">
        <v>446</v>
      </c>
      <c r="B451" s="1" t="s">
        <v>966</v>
      </c>
      <c r="C451" s="6" t="s">
        <v>5370</v>
      </c>
      <c r="D451" s="7" t="s">
        <v>967</v>
      </c>
      <c r="E451" s="2" t="s">
        <v>965</v>
      </c>
      <c r="F451" s="99" t="s">
        <v>11</v>
      </c>
      <c r="G451" s="121">
        <v>50</v>
      </c>
      <c r="H451" s="122">
        <f t="shared" si="12"/>
        <v>450</v>
      </c>
      <c r="I451" s="520">
        <f>+(425+865)/4</f>
        <v>322.5</v>
      </c>
      <c r="J451" s="514">
        <f t="shared" si="13"/>
        <v>772.5</v>
      </c>
      <c r="K451" s="262"/>
      <c r="L451" s="267"/>
    </row>
    <row r="452" spans="1:12" ht="20.25" customHeight="1" x14ac:dyDescent="0.2">
      <c r="A452" s="114">
        <v>447</v>
      </c>
      <c r="B452" s="1" t="s">
        <v>968</v>
      </c>
      <c r="C452" s="6" t="s">
        <v>5371</v>
      </c>
      <c r="D452" s="7" t="s">
        <v>969</v>
      </c>
      <c r="E452" s="2" t="s">
        <v>965</v>
      </c>
      <c r="F452" s="99" t="s">
        <v>14</v>
      </c>
      <c r="G452" s="121">
        <v>50</v>
      </c>
      <c r="H452" s="122">
        <f t="shared" si="12"/>
        <v>450</v>
      </c>
      <c r="I452" s="520">
        <f>+(425+865)/4</f>
        <v>322.5</v>
      </c>
      <c r="J452" s="514">
        <f t="shared" si="13"/>
        <v>772.5</v>
      </c>
      <c r="K452" s="262"/>
      <c r="L452" s="267"/>
    </row>
    <row r="453" spans="1:12" ht="20.25" customHeight="1" thickBot="1" x14ac:dyDescent="0.25">
      <c r="A453" s="158">
        <v>448</v>
      </c>
      <c r="B453" s="159" t="s">
        <v>970</v>
      </c>
      <c r="C453" s="160" t="s">
        <v>5148</v>
      </c>
      <c r="D453" s="161" t="s">
        <v>971</v>
      </c>
      <c r="E453" s="162" t="s">
        <v>965</v>
      </c>
      <c r="F453" s="163" t="s">
        <v>17</v>
      </c>
      <c r="G453" s="164">
        <v>50</v>
      </c>
      <c r="H453" s="153">
        <f t="shared" si="12"/>
        <v>450</v>
      </c>
      <c r="I453" s="521">
        <f>+(425+865)/4</f>
        <v>322.5</v>
      </c>
      <c r="J453" s="516">
        <f t="shared" si="13"/>
        <v>772.5</v>
      </c>
      <c r="K453" s="277"/>
      <c r="L453" s="364"/>
    </row>
    <row r="454" spans="1:12" ht="20.25" customHeight="1" x14ac:dyDescent="0.2">
      <c r="A454" s="115">
        <v>449</v>
      </c>
      <c r="B454" s="64" t="s">
        <v>972</v>
      </c>
      <c r="C454" s="65" t="s">
        <v>5056</v>
      </c>
      <c r="D454" s="66" t="s">
        <v>973</v>
      </c>
      <c r="E454" s="67" t="s">
        <v>974</v>
      </c>
      <c r="F454" s="98" t="s">
        <v>8</v>
      </c>
      <c r="G454" s="123">
        <v>100</v>
      </c>
      <c r="H454" s="124">
        <f t="shared" si="12"/>
        <v>400</v>
      </c>
      <c r="I454" s="513">
        <f>+(880+1235)/4</f>
        <v>528.75</v>
      </c>
      <c r="J454" s="517">
        <f t="shared" si="13"/>
        <v>928.75</v>
      </c>
      <c r="K454" s="264"/>
      <c r="L454" s="363"/>
    </row>
    <row r="455" spans="1:12" ht="20.25" customHeight="1" x14ac:dyDescent="0.2">
      <c r="A455" s="114">
        <v>450</v>
      </c>
      <c r="B455" s="1" t="s">
        <v>975</v>
      </c>
      <c r="C455" s="6" t="s">
        <v>5223</v>
      </c>
      <c r="D455" s="7" t="s">
        <v>976</v>
      </c>
      <c r="E455" s="2" t="s">
        <v>974</v>
      </c>
      <c r="F455" s="99" t="s">
        <v>11</v>
      </c>
      <c r="G455" s="121">
        <v>100</v>
      </c>
      <c r="H455" s="122">
        <f t="shared" ref="H455:H518" si="14">500-G455</f>
        <v>400</v>
      </c>
      <c r="I455" s="520">
        <f>+(880+1235)/4</f>
        <v>528.75</v>
      </c>
      <c r="J455" s="514">
        <f t="shared" si="13"/>
        <v>928.75</v>
      </c>
      <c r="K455" s="262"/>
      <c r="L455" s="267"/>
    </row>
    <row r="456" spans="1:12" ht="20.25" customHeight="1" x14ac:dyDescent="0.2">
      <c r="A456" s="114">
        <v>451</v>
      </c>
      <c r="B456" s="1" t="s">
        <v>977</v>
      </c>
      <c r="C456" s="6" t="s">
        <v>5372</v>
      </c>
      <c r="D456" s="7" t="s">
        <v>978</v>
      </c>
      <c r="E456" s="2" t="s">
        <v>974</v>
      </c>
      <c r="F456" s="99" t="s">
        <v>14</v>
      </c>
      <c r="G456" s="121">
        <v>100</v>
      </c>
      <c r="H456" s="122">
        <f t="shared" si="14"/>
        <v>400</v>
      </c>
      <c r="I456" s="520">
        <f>+(880+1235)/4</f>
        <v>528.75</v>
      </c>
      <c r="J456" s="514">
        <f t="shared" ref="J456:J519" si="15">SUM(H456:I456)</f>
        <v>928.75</v>
      </c>
      <c r="K456" s="262"/>
      <c r="L456" s="267"/>
    </row>
    <row r="457" spans="1:12" ht="20.25" customHeight="1" thickBot="1" x14ac:dyDescent="0.25">
      <c r="A457" s="117">
        <v>452</v>
      </c>
      <c r="B457" s="3" t="s">
        <v>979</v>
      </c>
      <c r="C457" s="8" t="s">
        <v>5373</v>
      </c>
      <c r="D457" s="9" t="s">
        <v>980</v>
      </c>
      <c r="E457" s="4" t="s">
        <v>974</v>
      </c>
      <c r="F457" s="101" t="s">
        <v>17</v>
      </c>
      <c r="G457" s="128">
        <v>50</v>
      </c>
      <c r="H457" s="157">
        <f t="shared" si="14"/>
        <v>450</v>
      </c>
      <c r="I457" s="522">
        <f>+(880+1235)/4</f>
        <v>528.75</v>
      </c>
      <c r="J457" s="519">
        <f t="shared" si="15"/>
        <v>978.75</v>
      </c>
      <c r="K457" s="268"/>
      <c r="L457" s="269"/>
    </row>
    <row r="458" spans="1:12" ht="20.25" customHeight="1" x14ac:dyDescent="0.2">
      <c r="A458" s="108">
        <v>453</v>
      </c>
      <c r="B458" s="171" t="s">
        <v>981</v>
      </c>
      <c r="C458" s="110" t="s">
        <v>5179</v>
      </c>
      <c r="D458" s="111" t="s">
        <v>982</v>
      </c>
      <c r="E458" s="112" t="s">
        <v>983</v>
      </c>
      <c r="F458" s="113" t="s">
        <v>8</v>
      </c>
      <c r="G458" s="119">
        <v>100</v>
      </c>
      <c r="H458" s="120">
        <f t="shared" si="14"/>
        <v>400</v>
      </c>
      <c r="I458" s="511">
        <f>+(110+745)/4</f>
        <v>213.75</v>
      </c>
      <c r="J458" s="512">
        <f t="shared" si="15"/>
        <v>613.75</v>
      </c>
      <c r="K458" s="260"/>
      <c r="L458" s="365"/>
    </row>
    <row r="459" spans="1:12" ht="20.25" customHeight="1" x14ac:dyDescent="0.2">
      <c r="A459" s="114">
        <v>454</v>
      </c>
      <c r="B459" s="1" t="s">
        <v>984</v>
      </c>
      <c r="C459" s="6" t="s">
        <v>5374</v>
      </c>
      <c r="D459" s="7" t="s">
        <v>985</v>
      </c>
      <c r="E459" s="2" t="s">
        <v>983</v>
      </c>
      <c r="F459" s="99" t="s">
        <v>11</v>
      </c>
      <c r="G459" s="121">
        <v>100</v>
      </c>
      <c r="H459" s="122">
        <f t="shared" si="14"/>
        <v>400</v>
      </c>
      <c r="I459" s="520">
        <f>+(110+745)/4</f>
        <v>213.75</v>
      </c>
      <c r="J459" s="514">
        <f t="shared" si="15"/>
        <v>613.75</v>
      </c>
      <c r="K459" s="262"/>
      <c r="L459" s="267"/>
    </row>
    <row r="460" spans="1:12" ht="20.25" customHeight="1" x14ac:dyDescent="0.2">
      <c r="A460" s="114">
        <v>455</v>
      </c>
      <c r="B460" s="1" t="s">
        <v>986</v>
      </c>
      <c r="C460" s="6" t="s">
        <v>5375</v>
      </c>
      <c r="D460" s="7" t="s">
        <v>987</v>
      </c>
      <c r="E460" s="2" t="s">
        <v>983</v>
      </c>
      <c r="F460" s="99" t="s">
        <v>14</v>
      </c>
      <c r="G460" s="121">
        <v>50</v>
      </c>
      <c r="H460" s="122">
        <f t="shared" si="14"/>
        <v>450</v>
      </c>
      <c r="I460" s="520">
        <f>+(110+745)/4</f>
        <v>213.75</v>
      </c>
      <c r="J460" s="514">
        <f t="shared" si="15"/>
        <v>663.75</v>
      </c>
      <c r="K460" s="262"/>
      <c r="L460" s="267"/>
    </row>
    <row r="461" spans="1:12" ht="20.25" customHeight="1" thickBot="1" x14ac:dyDescent="0.25">
      <c r="A461" s="158">
        <v>456</v>
      </c>
      <c r="B461" s="159" t="s">
        <v>988</v>
      </c>
      <c r="C461" s="160" t="s">
        <v>5376</v>
      </c>
      <c r="D461" s="161" t="s">
        <v>989</v>
      </c>
      <c r="E461" s="162" t="s">
        <v>983</v>
      </c>
      <c r="F461" s="163" t="s">
        <v>17</v>
      </c>
      <c r="G461" s="164">
        <v>50</v>
      </c>
      <c r="H461" s="153">
        <f t="shared" si="14"/>
        <v>450</v>
      </c>
      <c r="I461" s="521">
        <f>+(110+745)/4</f>
        <v>213.75</v>
      </c>
      <c r="J461" s="516">
        <f t="shared" si="15"/>
        <v>663.75</v>
      </c>
      <c r="K461" s="277"/>
      <c r="L461" s="364"/>
    </row>
    <row r="462" spans="1:12" ht="20.25" customHeight="1" x14ac:dyDescent="0.2">
      <c r="A462" s="115">
        <v>457</v>
      </c>
      <c r="B462" s="61" t="s">
        <v>990</v>
      </c>
      <c r="C462" s="62" t="s">
        <v>5377</v>
      </c>
      <c r="D462" s="63" t="s">
        <v>991</v>
      </c>
      <c r="E462" s="12">
        <v>1508</v>
      </c>
      <c r="F462" s="172" t="s">
        <v>8</v>
      </c>
      <c r="G462" s="173">
        <v>50</v>
      </c>
      <c r="H462" s="124">
        <f t="shared" si="14"/>
        <v>450</v>
      </c>
      <c r="I462" s="513">
        <f>+(400+990)/4</f>
        <v>347.5</v>
      </c>
      <c r="J462" s="517">
        <f t="shared" si="15"/>
        <v>797.5</v>
      </c>
      <c r="K462" s="264"/>
      <c r="L462" s="363"/>
    </row>
    <row r="463" spans="1:12" ht="20.25" customHeight="1" x14ac:dyDescent="0.2">
      <c r="A463" s="114">
        <v>458</v>
      </c>
      <c r="B463" s="47" t="s">
        <v>4870</v>
      </c>
      <c r="C463" s="10" t="s">
        <v>5378</v>
      </c>
      <c r="D463" s="11" t="s">
        <v>4867</v>
      </c>
      <c r="E463" s="5">
        <v>1508</v>
      </c>
      <c r="F463" s="100" t="s">
        <v>11</v>
      </c>
      <c r="G463" s="125">
        <v>50</v>
      </c>
      <c r="H463" s="122">
        <f t="shared" si="14"/>
        <v>450</v>
      </c>
      <c r="I463" s="520">
        <f>+(400+990)/4</f>
        <v>347.5</v>
      </c>
      <c r="J463" s="514">
        <f t="shared" si="15"/>
        <v>797.5</v>
      </c>
      <c r="K463" s="262"/>
      <c r="L463" s="267"/>
    </row>
    <row r="464" spans="1:12" ht="19.5" customHeight="1" x14ac:dyDescent="0.2">
      <c r="A464" s="114">
        <v>459</v>
      </c>
      <c r="B464" s="47" t="s">
        <v>4871</v>
      </c>
      <c r="C464" s="10" t="s">
        <v>5379</v>
      </c>
      <c r="D464" s="11" t="s">
        <v>4868</v>
      </c>
      <c r="E464" s="5">
        <v>1508</v>
      </c>
      <c r="F464" s="100" t="s">
        <v>14</v>
      </c>
      <c r="G464" s="125">
        <v>50</v>
      </c>
      <c r="H464" s="122">
        <f t="shared" si="14"/>
        <v>450</v>
      </c>
      <c r="I464" s="520">
        <f>+(400+990)/4</f>
        <v>347.5</v>
      </c>
      <c r="J464" s="514">
        <f t="shared" si="15"/>
        <v>797.5</v>
      </c>
      <c r="K464" s="262"/>
      <c r="L464" s="267"/>
    </row>
    <row r="465" spans="1:12" ht="20.25" customHeight="1" thickBot="1" x14ac:dyDescent="0.25">
      <c r="A465" s="117">
        <v>460</v>
      </c>
      <c r="B465" s="380" t="s">
        <v>4872</v>
      </c>
      <c r="C465" s="381" t="s">
        <v>5069</v>
      </c>
      <c r="D465" s="382" t="s">
        <v>4869</v>
      </c>
      <c r="E465" s="360">
        <v>1508</v>
      </c>
      <c r="F465" s="361" t="s">
        <v>17</v>
      </c>
      <c r="G465" s="362">
        <v>50</v>
      </c>
      <c r="H465" s="157">
        <f t="shared" si="14"/>
        <v>450</v>
      </c>
      <c r="I465" s="522">
        <f>+(400+990)/4</f>
        <v>347.5</v>
      </c>
      <c r="J465" s="519">
        <f t="shared" si="15"/>
        <v>797.5</v>
      </c>
      <c r="K465" s="268"/>
      <c r="L465" s="269"/>
    </row>
    <row r="466" spans="1:12" ht="20.25" customHeight="1" x14ac:dyDescent="0.2">
      <c r="A466" s="108">
        <v>461</v>
      </c>
      <c r="B466" s="171" t="s">
        <v>992</v>
      </c>
      <c r="C466" s="110" t="s">
        <v>5380</v>
      </c>
      <c r="D466" s="111" t="s">
        <v>345</v>
      </c>
      <c r="E466" s="112" t="s">
        <v>993</v>
      </c>
      <c r="F466" s="113" t="s">
        <v>8</v>
      </c>
      <c r="G466" s="119">
        <v>50</v>
      </c>
      <c r="H466" s="120">
        <f t="shared" si="14"/>
        <v>450</v>
      </c>
      <c r="I466" s="511">
        <f>+(725+1295)/4</f>
        <v>505</v>
      </c>
      <c r="J466" s="512">
        <f t="shared" si="15"/>
        <v>955</v>
      </c>
      <c r="K466" s="260"/>
      <c r="L466" s="365"/>
    </row>
    <row r="467" spans="1:12" ht="20.25" customHeight="1" x14ac:dyDescent="0.2">
      <c r="A467" s="114">
        <v>462</v>
      </c>
      <c r="B467" s="1" t="s">
        <v>994</v>
      </c>
      <c r="C467" s="6" t="s">
        <v>5381</v>
      </c>
      <c r="D467" s="7" t="s">
        <v>995</v>
      </c>
      <c r="E467" s="2" t="s">
        <v>993</v>
      </c>
      <c r="F467" s="99" t="s">
        <v>11</v>
      </c>
      <c r="G467" s="121">
        <v>50</v>
      </c>
      <c r="H467" s="122">
        <f t="shared" si="14"/>
        <v>450</v>
      </c>
      <c r="I467" s="520">
        <f>+(725+1295)/4</f>
        <v>505</v>
      </c>
      <c r="J467" s="514">
        <f t="shared" si="15"/>
        <v>955</v>
      </c>
      <c r="K467" s="262"/>
      <c r="L467" s="267"/>
    </row>
    <row r="468" spans="1:12" ht="20.25" customHeight="1" x14ac:dyDescent="0.2">
      <c r="A468" s="114">
        <v>463</v>
      </c>
      <c r="B468" s="1" t="s">
        <v>996</v>
      </c>
      <c r="C468" s="6" t="s">
        <v>5382</v>
      </c>
      <c r="D468" s="7" t="s">
        <v>814</v>
      </c>
      <c r="E468" s="2" t="s">
        <v>993</v>
      </c>
      <c r="F468" s="99" t="s">
        <v>14</v>
      </c>
      <c r="G468" s="121">
        <v>150</v>
      </c>
      <c r="H468" s="122">
        <f t="shared" si="14"/>
        <v>350</v>
      </c>
      <c r="I468" s="520">
        <f>+(725+1295)/4</f>
        <v>505</v>
      </c>
      <c r="J468" s="514">
        <f t="shared" si="15"/>
        <v>855</v>
      </c>
      <c r="K468" s="262"/>
      <c r="L468" s="267"/>
    </row>
    <row r="469" spans="1:12" ht="20.25" customHeight="1" thickBot="1" x14ac:dyDescent="0.25">
      <c r="A469" s="158">
        <v>464</v>
      </c>
      <c r="B469" s="159" t="s">
        <v>997</v>
      </c>
      <c r="C469" s="160" t="s">
        <v>5234</v>
      </c>
      <c r="D469" s="161" t="s">
        <v>998</v>
      </c>
      <c r="E469" s="162" t="s">
        <v>993</v>
      </c>
      <c r="F469" s="163" t="s">
        <v>17</v>
      </c>
      <c r="G469" s="164">
        <v>50</v>
      </c>
      <c r="H469" s="153">
        <f t="shared" si="14"/>
        <v>450</v>
      </c>
      <c r="I469" s="521">
        <f>+(725+1295)/4</f>
        <v>505</v>
      </c>
      <c r="J469" s="516">
        <f t="shared" si="15"/>
        <v>955</v>
      </c>
      <c r="K469" s="277"/>
      <c r="L469" s="364"/>
    </row>
    <row r="470" spans="1:12" ht="20.25" customHeight="1" x14ac:dyDescent="0.2">
      <c r="A470" s="115">
        <v>465</v>
      </c>
      <c r="B470" s="64" t="s">
        <v>999</v>
      </c>
      <c r="C470" s="65" t="s">
        <v>5383</v>
      </c>
      <c r="D470" s="66" t="s">
        <v>1000</v>
      </c>
      <c r="E470" s="67" t="s">
        <v>1001</v>
      </c>
      <c r="F470" s="98" t="s">
        <v>8</v>
      </c>
      <c r="G470" s="123">
        <v>50</v>
      </c>
      <c r="H470" s="124">
        <f t="shared" si="14"/>
        <v>450</v>
      </c>
      <c r="I470" s="513">
        <f>+(0+530)/4</f>
        <v>132.5</v>
      </c>
      <c r="J470" s="517">
        <f t="shared" si="15"/>
        <v>582.5</v>
      </c>
      <c r="K470" s="264"/>
      <c r="L470" s="363"/>
    </row>
    <row r="471" spans="1:12" ht="20.25" customHeight="1" x14ac:dyDescent="0.2">
      <c r="A471" s="114">
        <v>466</v>
      </c>
      <c r="B471" s="1" t="s">
        <v>1002</v>
      </c>
      <c r="C471" s="6" t="s">
        <v>5384</v>
      </c>
      <c r="D471" s="7" t="s">
        <v>1003</v>
      </c>
      <c r="E471" s="2" t="s">
        <v>1001</v>
      </c>
      <c r="F471" s="99" t="s">
        <v>11</v>
      </c>
      <c r="G471" s="121">
        <v>150</v>
      </c>
      <c r="H471" s="122">
        <f t="shared" si="14"/>
        <v>350</v>
      </c>
      <c r="I471" s="520">
        <f>+(0+530)/4</f>
        <v>132.5</v>
      </c>
      <c r="J471" s="514">
        <f t="shared" si="15"/>
        <v>482.5</v>
      </c>
      <c r="K471" s="262"/>
      <c r="L471" s="267"/>
    </row>
    <row r="472" spans="1:12" ht="20.25" customHeight="1" x14ac:dyDescent="0.2">
      <c r="A472" s="114">
        <v>467</v>
      </c>
      <c r="B472" s="1" t="s">
        <v>1004</v>
      </c>
      <c r="C472" s="6" t="s">
        <v>5385</v>
      </c>
      <c r="D472" s="7" t="s">
        <v>1005</v>
      </c>
      <c r="E472" s="2" t="s">
        <v>1001</v>
      </c>
      <c r="F472" s="99" t="s">
        <v>14</v>
      </c>
      <c r="G472" s="121">
        <v>100</v>
      </c>
      <c r="H472" s="122">
        <f t="shared" si="14"/>
        <v>400</v>
      </c>
      <c r="I472" s="520">
        <f>+(0+530)/4</f>
        <v>132.5</v>
      </c>
      <c r="J472" s="514">
        <f t="shared" si="15"/>
        <v>532.5</v>
      </c>
      <c r="K472" s="262"/>
      <c r="L472" s="267"/>
    </row>
    <row r="473" spans="1:12" ht="20.25" customHeight="1" thickBot="1" x14ac:dyDescent="0.25">
      <c r="A473" s="117">
        <v>468</v>
      </c>
      <c r="B473" s="3" t="s">
        <v>1006</v>
      </c>
      <c r="C473" s="8" t="s">
        <v>5386</v>
      </c>
      <c r="D473" s="9" t="s">
        <v>1007</v>
      </c>
      <c r="E473" s="4" t="s">
        <v>1001</v>
      </c>
      <c r="F473" s="101" t="s">
        <v>17</v>
      </c>
      <c r="G473" s="128">
        <v>100</v>
      </c>
      <c r="H473" s="157">
        <f t="shared" si="14"/>
        <v>400</v>
      </c>
      <c r="I473" s="522">
        <f>+(0+530)/4</f>
        <v>132.5</v>
      </c>
      <c r="J473" s="519">
        <f t="shared" si="15"/>
        <v>532.5</v>
      </c>
      <c r="K473" s="268"/>
      <c r="L473" s="269"/>
    </row>
    <row r="474" spans="1:12" ht="20.25" customHeight="1" x14ac:dyDescent="0.2">
      <c r="A474" s="108">
        <v>469</v>
      </c>
      <c r="B474" s="174" t="s">
        <v>1008</v>
      </c>
      <c r="C474" s="175" t="s">
        <v>5387</v>
      </c>
      <c r="D474" s="176" t="s">
        <v>1009</v>
      </c>
      <c r="E474" s="177" t="s">
        <v>1010</v>
      </c>
      <c r="F474" s="178" t="s">
        <v>8</v>
      </c>
      <c r="G474" s="179">
        <v>50</v>
      </c>
      <c r="H474" s="120">
        <f t="shared" si="14"/>
        <v>450</v>
      </c>
      <c r="I474" s="511">
        <f>+(560+1040)/4</f>
        <v>400</v>
      </c>
      <c r="J474" s="512">
        <f t="shared" si="15"/>
        <v>850</v>
      </c>
      <c r="K474" s="260"/>
      <c r="L474" s="365"/>
    </row>
    <row r="475" spans="1:12" ht="20.25" customHeight="1" x14ac:dyDescent="0.2">
      <c r="A475" s="114">
        <v>470</v>
      </c>
      <c r="B475" s="47" t="s">
        <v>1011</v>
      </c>
      <c r="C475" s="10" t="s">
        <v>5388</v>
      </c>
      <c r="D475" s="11" t="s">
        <v>1012</v>
      </c>
      <c r="E475" s="5" t="s">
        <v>1010</v>
      </c>
      <c r="F475" s="100" t="s">
        <v>11</v>
      </c>
      <c r="G475" s="125">
        <v>50</v>
      </c>
      <c r="H475" s="122">
        <f t="shared" si="14"/>
        <v>450</v>
      </c>
      <c r="I475" s="520">
        <f>+(560+1040)/4</f>
        <v>400</v>
      </c>
      <c r="J475" s="514">
        <f t="shared" si="15"/>
        <v>850</v>
      </c>
      <c r="K475" s="262"/>
      <c r="L475" s="267"/>
    </row>
    <row r="476" spans="1:12" ht="20.25" customHeight="1" x14ac:dyDescent="0.2">
      <c r="A476" s="114">
        <v>471</v>
      </c>
      <c r="B476" s="47"/>
      <c r="C476" s="10" t="s">
        <v>5208</v>
      </c>
      <c r="D476" s="11" t="s">
        <v>3473</v>
      </c>
      <c r="E476" s="5" t="s">
        <v>1010</v>
      </c>
      <c r="F476" s="100" t="s">
        <v>14</v>
      </c>
      <c r="G476" s="125">
        <v>50</v>
      </c>
      <c r="H476" s="122">
        <f t="shared" si="14"/>
        <v>450</v>
      </c>
      <c r="I476" s="520">
        <f>+(560+1040)/4</f>
        <v>400</v>
      </c>
      <c r="J476" s="514">
        <f t="shared" si="15"/>
        <v>850</v>
      </c>
      <c r="K476" s="262"/>
      <c r="L476" s="267"/>
    </row>
    <row r="477" spans="1:12" ht="20.25" customHeight="1" thickBot="1" x14ac:dyDescent="0.25">
      <c r="A477" s="158">
        <v>472</v>
      </c>
      <c r="B477" s="192" t="s">
        <v>1013</v>
      </c>
      <c r="C477" s="193" t="s">
        <v>5389</v>
      </c>
      <c r="D477" s="194" t="s">
        <v>1014</v>
      </c>
      <c r="E477" s="195" t="s">
        <v>1010</v>
      </c>
      <c r="F477" s="196" t="s">
        <v>17</v>
      </c>
      <c r="G477" s="197">
        <v>50</v>
      </c>
      <c r="H477" s="153">
        <f t="shared" si="14"/>
        <v>450</v>
      </c>
      <c r="I477" s="521">
        <f>+(560+1040)/4</f>
        <v>400</v>
      </c>
      <c r="J477" s="516">
        <f t="shared" si="15"/>
        <v>850</v>
      </c>
      <c r="K477" s="277"/>
      <c r="L477" s="364"/>
    </row>
    <row r="478" spans="1:12" ht="20.25" customHeight="1" x14ac:dyDescent="0.2">
      <c r="A478" s="115">
        <v>473</v>
      </c>
      <c r="B478" s="64" t="s">
        <v>1015</v>
      </c>
      <c r="C478" s="65" t="s">
        <v>5390</v>
      </c>
      <c r="D478" s="66" t="s">
        <v>1016</v>
      </c>
      <c r="E478" s="67" t="s">
        <v>1017</v>
      </c>
      <c r="F478" s="98" t="s">
        <v>8</v>
      </c>
      <c r="G478" s="123">
        <v>100</v>
      </c>
      <c r="H478" s="124">
        <f t="shared" si="14"/>
        <v>400</v>
      </c>
      <c r="I478" s="513">
        <f>+(1405+1585)/4</f>
        <v>747.5</v>
      </c>
      <c r="J478" s="517">
        <f t="shared" si="15"/>
        <v>1147.5</v>
      </c>
      <c r="K478" s="264"/>
      <c r="L478" s="363"/>
    </row>
    <row r="479" spans="1:12" ht="20.25" customHeight="1" x14ac:dyDescent="0.2">
      <c r="A479" s="114">
        <v>474</v>
      </c>
      <c r="B479" s="1" t="s">
        <v>1018</v>
      </c>
      <c r="C479" s="6" t="s">
        <v>5391</v>
      </c>
      <c r="D479" s="7" t="s">
        <v>1019</v>
      </c>
      <c r="E479" s="2" t="s">
        <v>1017</v>
      </c>
      <c r="F479" s="99" t="s">
        <v>11</v>
      </c>
      <c r="G479" s="121">
        <v>100</v>
      </c>
      <c r="H479" s="122">
        <f t="shared" si="14"/>
        <v>400</v>
      </c>
      <c r="I479" s="520">
        <f>+(1405+1585)/4</f>
        <v>747.5</v>
      </c>
      <c r="J479" s="514">
        <f t="shared" si="15"/>
        <v>1147.5</v>
      </c>
      <c r="K479" s="262"/>
      <c r="L479" s="267"/>
    </row>
    <row r="480" spans="1:12" ht="20.25" customHeight="1" x14ac:dyDescent="0.2">
      <c r="A480" s="114">
        <v>475</v>
      </c>
      <c r="B480" s="1" t="s">
        <v>1020</v>
      </c>
      <c r="C480" s="6" t="s">
        <v>5392</v>
      </c>
      <c r="D480" s="7" t="s">
        <v>1021</v>
      </c>
      <c r="E480" s="2" t="s">
        <v>1017</v>
      </c>
      <c r="F480" s="99" t="s">
        <v>14</v>
      </c>
      <c r="G480" s="121">
        <v>100</v>
      </c>
      <c r="H480" s="122">
        <f t="shared" si="14"/>
        <v>400</v>
      </c>
      <c r="I480" s="520">
        <f>+(1405+1585)/4</f>
        <v>747.5</v>
      </c>
      <c r="J480" s="514">
        <f t="shared" si="15"/>
        <v>1147.5</v>
      </c>
      <c r="K480" s="262"/>
      <c r="L480" s="267"/>
    </row>
    <row r="481" spans="1:12" ht="20.25" customHeight="1" thickBot="1" x14ac:dyDescent="0.25">
      <c r="A481" s="117">
        <v>476</v>
      </c>
      <c r="B481" s="3" t="s">
        <v>1022</v>
      </c>
      <c r="C481" s="8" t="s">
        <v>5393</v>
      </c>
      <c r="D481" s="9" t="s">
        <v>1023</v>
      </c>
      <c r="E481" s="4" t="s">
        <v>1017</v>
      </c>
      <c r="F481" s="101" t="s">
        <v>17</v>
      </c>
      <c r="G481" s="128">
        <v>100</v>
      </c>
      <c r="H481" s="157">
        <f t="shared" si="14"/>
        <v>400</v>
      </c>
      <c r="I481" s="522">
        <f>+(1405+1585)/4</f>
        <v>747.5</v>
      </c>
      <c r="J481" s="519">
        <f t="shared" si="15"/>
        <v>1147.5</v>
      </c>
      <c r="K481" s="268"/>
      <c r="L481" s="269"/>
    </row>
    <row r="482" spans="1:12" ht="20.25" customHeight="1" x14ac:dyDescent="0.2">
      <c r="A482" s="108">
        <v>477</v>
      </c>
      <c r="B482" s="171" t="s">
        <v>1024</v>
      </c>
      <c r="C482" s="110" t="s">
        <v>5394</v>
      </c>
      <c r="D482" s="111" t="s">
        <v>1025</v>
      </c>
      <c r="E482" s="112" t="s">
        <v>1026</v>
      </c>
      <c r="F482" s="113" t="s">
        <v>8</v>
      </c>
      <c r="G482" s="119">
        <v>50</v>
      </c>
      <c r="H482" s="120">
        <f t="shared" si="14"/>
        <v>450</v>
      </c>
      <c r="I482" s="511">
        <f>+(770+1075)/4</f>
        <v>461.25</v>
      </c>
      <c r="J482" s="512">
        <f t="shared" si="15"/>
        <v>911.25</v>
      </c>
      <c r="K482" s="260"/>
      <c r="L482" s="365"/>
    </row>
    <row r="483" spans="1:12" ht="20.25" customHeight="1" x14ac:dyDescent="0.2">
      <c r="A483" s="114">
        <v>478</v>
      </c>
      <c r="B483" s="1" t="s">
        <v>1027</v>
      </c>
      <c r="C483" s="6" t="s">
        <v>5252</v>
      </c>
      <c r="D483" s="7" t="s">
        <v>1028</v>
      </c>
      <c r="E483" s="2" t="s">
        <v>1026</v>
      </c>
      <c r="F483" s="99" t="s">
        <v>11</v>
      </c>
      <c r="G483" s="121">
        <v>50</v>
      </c>
      <c r="H483" s="122">
        <f t="shared" si="14"/>
        <v>450</v>
      </c>
      <c r="I483" s="520">
        <f>+(770+1075)/4</f>
        <v>461.25</v>
      </c>
      <c r="J483" s="514">
        <f t="shared" si="15"/>
        <v>911.25</v>
      </c>
      <c r="K483" s="262"/>
      <c r="L483" s="267"/>
    </row>
    <row r="484" spans="1:12" ht="20.25" customHeight="1" x14ac:dyDescent="0.2">
      <c r="A484" s="114">
        <v>479</v>
      </c>
      <c r="B484" s="1" t="s">
        <v>1029</v>
      </c>
      <c r="C484" s="6" t="s">
        <v>5257</v>
      </c>
      <c r="D484" s="7" t="s">
        <v>1030</v>
      </c>
      <c r="E484" s="2" t="s">
        <v>1026</v>
      </c>
      <c r="F484" s="99" t="s">
        <v>14</v>
      </c>
      <c r="G484" s="121">
        <v>50</v>
      </c>
      <c r="H484" s="122">
        <f t="shared" si="14"/>
        <v>450</v>
      </c>
      <c r="I484" s="520">
        <f>+(770+1075)/4</f>
        <v>461.25</v>
      </c>
      <c r="J484" s="514">
        <f t="shared" si="15"/>
        <v>911.25</v>
      </c>
      <c r="K484" s="262"/>
      <c r="L484" s="267"/>
    </row>
    <row r="485" spans="1:12" ht="20.25" customHeight="1" thickBot="1" x14ac:dyDescent="0.25">
      <c r="A485" s="158">
        <v>480</v>
      </c>
      <c r="B485" s="159" t="s">
        <v>1031</v>
      </c>
      <c r="C485" s="160" t="s">
        <v>5261</v>
      </c>
      <c r="D485" s="161" t="s">
        <v>1032</v>
      </c>
      <c r="E485" s="162" t="s">
        <v>1026</v>
      </c>
      <c r="F485" s="163" t="s">
        <v>17</v>
      </c>
      <c r="G485" s="164">
        <v>150</v>
      </c>
      <c r="H485" s="153">
        <f t="shared" si="14"/>
        <v>350</v>
      </c>
      <c r="I485" s="521">
        <f>+(770+1075)/4</f>
        <v>461.25</v>
      </c>
      <c r="J485" s="516">
        <f t="shared" si="15"/>
        <v>811.25</v>
      </c>
      <c r="K485" s="277"/>
      <c r="L485" s="364"/>
    </row>
    <row r="486" spans="1:12" ht="20.25" customHeight="1" x14ac:dyDescent="0.2">
      <c r="A486" s="115">
        <v>481</v>
      </c>
      <c r="B486" s="64" t="s">
        <v>1033</v>
      </c>
      <c r="C486" s="65" t="s">
        <v>5395</v>
      </c>
      <c r="D486" s="66" t="s">
        <v>1034</v>
      </c>
      <c r="E486" s="67" t="s">
        <v>1035</v>
      </c>
      <c r="F486" s="98" t="s">
        <v>8</v>
      </c>
      <c r="G486" s="123">
        <v>100</v>
      </c>
      <c r="H486" s="124">
        <f t="shared" si="14"/>
        <v>400</v>
      </c>
      <c r="I486" s="513">
        <f>+(325+575)/4</f>
        <v>225</v>
      </c>
      <c r="J486" s="517">
        <f t="shared" si="15"/>
        <v>625</v>
      </c>
      <c r="K486" s="264"/>
      <c r="L486" s="363"/>
    </row>
    <row r="487" spans="1:12" ht="20.25" customHeight="1" x14ac:dyDescent="0.2">
      <c r="A487" s="114">
        <v>482</v>
      </c>
      <c r="B487" s="1" t="s">
        <v>1036</v>
      </c>
      <c r="C487" s="6" t="s">
        <v>5396</v>
      </c>
      <c r="D487" s="7" t="s">
        <v>1037</v>
      </c>
      <c r="E487" s="2" t="s">
        <v>1035</v>
      </c>
      <c r="F487" s="99" t="s">
        <v>11</v>
      </c>
      <c r="G487" s="121">
        <v>100</v>
      </c>
      <c r="H487" s="122">
        <f t="shared" si="14"/>
        <v>400</v>
      </c>
      <c r="I487" s="520">
        <f>+(325+575)/4</f>
        <v>225</v>
      </c>
      <c r="J487" s="514">
        <f t="shared" si="15"/>
        <v>625</v>
      </c>
      <c r="K487" s="262"/>
      <c r="L487" s="267"/>
    </row>
    <row r="488" spans="1:12" ht="20.25" customHeight="1" x14ac:dyDescent="0.2">
      <c r="A488" s="114">
        <v>483</v>
      </c>
      <c r="B488" s="1" t="s">
        <v>1038</v>
      </c>
      <c r="C488" s="6" t="s">
        <v>5179</v>
      </c>
      <c r="D488" s="7" t="s">
        <v>1039</v>
      </c>
      <c r="E488" s="2" t="s">
        <v>1035</v>
      </c>
      <c r="F488" s="99" t="s">
        <v>14</v>
      </c>
      <c r="G488" s="121">
        <v>100</v>
      </c>
      <c r="H488" s="122">
        <f t="shared" si="14"/>
        <v>400</v>
      </c>
      <c r="I488" s="520">
        <f>+(325+575)/4</f>
        <v>225</v>
      </c>
      <c r="J488" s="514">
        <f t="shared" si="15"/>
        <v>625</v>
      </c>
      <c r="K488" s="262"/>
      <c r="L488" s="267"/>
    </row>
    <row r="489" spans="1:12" ht="20.25" customHeight="1" thickBot="1" x14ac:dyDescent="0.25">
      <c r="A489" s="117">
        <v>484</v>
      </c>
      <c r="B489" s="3" t="s">
        <v>1040</v>
      </c>
      <c r="C489" s="8" t="s">
        <v>5397</v>
      </c>
      <c r="D489" s="9" t="s">
        <v>1041</v>
      </c>
      <c r="E489" s="4" t="s">
        <v>1035</v>
      </c>
      <c r="F489" s="101" t="s">
        <v>17</v>
      </c>
      <c r="G489" s="128">
        <v>100</v>
      </c>
      <c r="H489" s="157">
        <f t="shared" si="14"/>
        <v>400</v>
      </c>
      <c r="I489" s="522">
        <f>+(325+575)/4</f>
        <v>225</v>
      </c>
      <c r="J489" s="519">
        <f t="shared" si="15"/>
        <v>625</v>
      </c>
      <c r="K489" s="268"/>
      <c r="L489" s="269"/>
    </row>
    <row r="490" spans="1:12" ht="20.25" customHeight="1" x14ac:dyDescent="0.2">
      <c r="A490" s="108">
        <v>485</v>
      </c>
      <c r="B490" s="171" t="s">
        <v>1042</v>
      </c>
      <c r="C490" s="110" t="s">
        <v>5398</v>
      </c>
      <c r="D490" s="111" t="s">
        <v>1043</v>
      </c>
      <c r="E490" s="112" t="s">
        <v>1044</v>
      </c>
      <c r="F490" s="113" t="s">
        <v>8</v>
      </c>
      <c r="G490" s="119">
        <v>50</v>
      </c>
      <c r="H490" s="120">
        <f t="shared" si="14"/>
        <v>450</v>
      </c>
      <c r="I490" s="511">
        <f>+(655+0)/4</f>
        <v>163.75</v>
      </c>
      <c r="J490" s="512">
        <f t="shared" si="15"/>
        <v>613.75</v>
      </c>
      <c r="K490" s="260"/>
      <c r="L490" s="365"/>
    </row>
    <row r="491" spans="1:12" ht="20.25" customHeight="1" x14ac:dyDescent="0.2">
      <c r="A491" s="114">
        <v>486</v>
      </c>
      <c r="B491" s="1" t="s">
        <v>1045</v>
      </c>
      <c r="C491" s="6" t="s">
        <v>5399</v>
      </c>
      <c r="D491" s="7" t="s">
        <v>1046</v>
      </c>
      <c r="E491" s="2" t="s">
        <v>1044</v>
      </c>
      <c r="F491" s="99" t="s">
        <v>11</v>
      </c>
      <c r="G491" s="121">
        <v>50</v>
      </c>
      <c r="H491" s="122">
        <f t="shared" si="14"/>
        <v>450</v>
      </c>
      <c r="I491" s="520">
        <f>+(655+0)/4</f>
        <v>163.75</v>
      </c>
      <c r="J491" s="514">
        <f t="shared" si="15"/>
        <v>613.75</v>
      </c>
      <c r="K491" s="262"/>
      <c r="L491" s="267"/>
    </row>
    <row r="492" spans="1:12" ht="20.25" customHeight="1" x14ac:dyDescent="0.2">
      <c r="A492" s="114">
        <v>487</v>
      </c>
      <c r="B492" s="1" t="s">
        <v>1047</v>
      </c>
      <c r="C492" s="6" t="s">
        <v>5400</v>
      </c>
      <c r="D492" s="7" t="s">
        <v>1048</v>
      </c>
      <c r="E492" s="2" t="s">
        <v>1044</v>
      </c>
      <c r="F492" s="99" t="s">
        <v>14</v>
      </c>
      <c r="G492" s="121">
        <v>50</v>
      </c>
      <c r="H492" s="122">
        <f t="shared" si="14"/>
        <v>450</v>
      </c>
      <c r="I492" s="520">
        <f>+(655+0)/4</f>
        <v>163.75</v>
      </c>
      <c r="J492" s="514">
        <f t="shared" si="15"/>
        <v>613.75</v>
      </c>
      <c r="K492" s="262"/>
      <c r="L492" s="267"/>
    </row>
    <row r="493" spans="1:12" ht="20.25" customHeight="1" thickBot="1" x14ac:dyDescent="0.25">
      <c r="A493" s="158">
        <v>488</v>
      </c>
      <c r="B493" s="159" t="s">
        <v>1049</v>
      </c>
      <c r="C493" s="160" t="s">
        <v>5401</v>
      </c>
      <c r="D493" s="161" t="s">
        <v>1050</v>
      </c>
      <c r="E493" s="162" t="s">
        <v>1044</v>
      </c>
      <c r="F493" s="163" t="s">
        <v>17</v>
      </c>
      <c r="G493" s="164">
        <v>50</v>
      </c>
      <c r="H493" s="153">
        <f t="shared" si="14"/>
        <v>450</v>
      </c>
      <c r="I493" s="521">
        <f>+(655+0)/4</f>
        <v>163.75</v>
      </c>
      <c r="J493" s="516">
        <f t="shared" si="15"/>
        <v>613.75</v>
      </c>
      <c r="K493" s="277"/>
      <c r="L493" s="364"/>
    </row>
    <row r="494" spans="1:12" ht="20.25" customHeight="1" x14ac:dyDescent="0.2">
      <c r="A494" s="115">
        <v>489</v>
      </c>
      <c r="B494" s="64" t="s">
        <v>1051</v>
      </c>
      <c r="C494" s="65" t="s">
        <v>5402</v>
      </c>
      <c r="D494" s="66" t="s">
        <v>1052</v>
      </c>
      <c r="E494" s="67" t="s">
        <v>1053</v>
      </c>
      <c r="F494" s="98" t="s">
        <v>8</v>
      </c>
      <c r="G494" s="123">
        <v>100</v>
      </c>
      <c r="H494" s="124">
        <f t="shared" si="14"/>
        <v>400</v>
      </c>
      <c r="I494" s="513">
        <f>+(355+885)/4</f>
        <v>310</v>
      </c>
      <c r="J494" s="517">
        <f t="shared" si="15"/>
        <v>710</v>
      </c>
      <c r="K494" s="264"/>
      <c r="L494" s="363"/>
    </row>
    <row r="495" spans="1:12" ht="20.25" customHeight="1" x14ac:dyDescent="0.2">
      <c r="A495" s="114">
        <v>490</v>
      </c>
      <c r="B495" s="1" t="s">
        <v>1054</v>
      </c>
      <c r="C495" s="6" t="s">
        <v>5403</v>
      </c>
      <c r="D495" s="7" t="s">
        <v>1055</v>
      </c>
      <c r="E495" s="2" t="s">
        <v>1053</v>
      </c>
      <c r="F495" s="99" t="s">
        <v>11</v>
      </c>
      <c r="G495" s="121">
        <v>50</v>
      </c>
      <c r="H495" s="122">
        <f t="shared" si="14"/>
        <v>450</v>
      </c>
      <c r="I495" s="520">
        <f>+(355+885)/4</f>
        <v>310</v>
      </c>
      <c r="J495" s="514">
        <f t="shared" si="15"/>
        <v>760</v>
      </c>
      <c r="K495" s="262"/>
      <c r="L495" s="267"/>
    </row>
    <row r="496" spans="1:12" ht="20.25" customHeight="1" x14ac:dyDescent="0.2">
      <c r="A496" s="114">
        <v>491</v>
      </c>
      <c r="B496" s="1" t="s">
        <v>1056</v>
      </c>
      <c r="C496" s="6" t="s">
        <v>5182</v>
      </c>
      <c r="D496" s="7" t="s">
        <v>1057</v>
      </c>
      <c r="E496" s="2" t="s">
        <v>1053</v>
      </c>
      <c r="F496" s="99" t="s">
        <v>14</v>
      </c>
      <c r="G496" s="121">
        <v>50</v>
      </c>
      <c r="H496" s="122">
        <f t="shared" si="14"/>
        <v>450</v>
      </c>
      <c r="I496" s="520">
        <f>+(355+885)/4</f>
        <v>310</v>
      </c>
      <c r="J496" s="514">
        <f t="shared" si="15"/>
        <v>760</v>
      </c>
      <c r="K496" s="262"/>
      <c r="L496" s="267"/>
    </row>
    <row r="497" spans="1:36" ht="20.25" customHeight="1" thickBot="1" x14ac:dyDescent="0.25">
      <c r="A497" s="117">
        <v>492</v>
      </c>
      <c r="B497" s="3" t="s">
        <v>1058</v>
      </c>
      <c r="C497" s="8" t="s">
        <v>5404</v>
      </c>
      <c r="D497" s="9" t="s">
        <v>1059</v>
      </c>
      <c r="E497" s="4" t="s">
        <v>1053</v>
      </c>
      <c r="F497" s="101" t="s">
        <v>17</v>
      </c>
      <c r="G497" s="128">
        <v>50</v>
      </c>
      <c r="H497" s="157">
        <f t="shared" si="14"/>
        <v>450</v>
      </c>
      <c r="I497" s="522">
        <f>+(355+885)/4</f>
        <v>310</v>
      </c>
      <c r="J497" s="519">
        <f t="shared" si="15"/>
        <v>760</v>
      </c>
      <c r="K497" s="268"/>
      <c r="L497" s="269"/>
    </row>
    <row r="498" spans="1:36" ht="20.25" customHeight="1" x14ac:dyDescent="0.2">
      <c r="A498" s="108">
        <v>493</v>
      </c>
      <c r="B498" s="171" t="s">
        <v>1060</v>
      </c>
      <c r="C498" s="110" t="s">
        <v>5264</v>
      </c>
      <c r="D498" s="111" t="s">
        <v>1061</v>
      </c>
      <c r="E498" s="112" t="s">
        <v>1062</v>
      </c>
      <c r="F498" s="113" t="s">
        <v>8</v>
      </c>
      <c r="G498" s="119">
        <v>100</v>
      </c>
      <c r="H498" s="120">
        <f t="shared" si="14"/>
        <v>400</v>
      </c>
      <c r="I498" s="511">
        <f>+(575+935)/4</f>
        <v>377.5</v>
      </c>
      <c r="J498" s="512">
        <f t="shared" si="15"/>
        <v>777.5</v>
      </c>
      <c r="K498" s="260"/>
      <c r="L498" s="365"/>
    </row>
    <row r="499" spans="1:36" ht="20.25" customHeight="1" x14ac:dyDescent="0.2">
      <c r="A499" s="114">
        <v>494</v>
      </c>
      <c r="B499" s="1" t="s">
        <v>1063</v>
      </c>
      <c r="C499" s="6" t="s">
        <v>5035</v>
      </c>
      <c r="D499" s="7" t="s">
        <v>1064</v>
      </c>
      <c r="E499" s="2" t="s">
        <v>1062</v>
      </c>
      <c r="F499" s="99" t="s">
        <v>11</v>
      </c>
      <c r="G499" s="121">
        <v>100</v>
      </c>
      <c r="H499" s="122">
        <f t="shared" si="14"/>
        <v>400</v>
      </c>
      <c r="I499" s="520">
        <f>+(575+935)/4</f>
        <v>377.5</v>
      </c>
      <c r="J499" s="514">
        <f t="shared" si="15"/>
        <v>777.5</v>
      </c>
      <c r="K499" s="262"/>
      <c r="L499" s="267"/>
    </row>
    <row r="500" spans="1:36" ht="20.25" customHeight="1" x14ac:dyDescent="0.2">
      <c r="A500" s="114">
        <v>495</v>
      </c>
      <c r="B500" s="1" t="s">
        <v>1065</v>
      </c>
      <c r="C500" s="6" t="s">
        <v>5117</v>
      </c>
      <c r="D500" s="7" t="s">
        <v>1066</v>
      </c>
      <c r="E500" s="2" t="s">
        <v>1062</v>
      </c>
      <c r="F500" s="99" t="s">
        <v>14</v>
      </c>
      <c r="G500" s="121">
        <v>100</v>
      </c>
      <c r="H500" s="122">
        <f t="shared" si="14"/>
        <v>400</v>
      </c>
      <c r="I500" s="520">
        <f>+(575+935)/4</f>
        <v>377.5</v>
      </c>
      <c r="J500" s="514">
        <f t="shared" si="15"/>
        <v>777.5</v>
      </c>
      <c r="K500" s="262"/>
      <c r="L500" s="267"/>
    </row>
    <row r="501" spans="1:36" ht="20.25" customHeight="1" thickBot="1" x14ac:dyDescent="0.25">
      <c r="A501" s="158">
        <v>496</v>
      </c>
      <c r="B501" s="159" t="s">
        <v>1067</v>
      </c>
      <c r="C501" s="160" t="s">
        <v>5405</v>
      </c>
      <c r="D501" s="161" t="s">
        <v>1068</v>
      </c>
      <c r="E501" s="162" t="s">
        <v>1062</v>
      </c>
      <c r="F501" s="163" t="s">
        <v>17</v>
      </c>
      <c r="G501" s="164">
        <v>50</v>
      </c>
      <c r="H501" s="153">
        <f t="shared" si="14"/>
        <v>450</v>
      </c>
      <c r="I501" s="521">
        <f>+(575+935)/4</f>
        <v>377.5</v>
      </c>
      <c r="J501" s="516">
        <f t="shared" si="15"/>
        <v>827.5</v>
      </c>
      <c r="K501" s="277"/>
      <c r="L501" s="364"/>
    </row>
    <row r="502" spans="1:36" s="37" customFormat="1" ht="20.25" customHeight="1" x14ac:dyDescent="0.2">
      <c r="A502" s="405">
        <v>497</v>
      </c>
      <c r="B502" s="235" t="s">
        <v>1069</v>
      </c>
      <c r="C502" s="236" t="s">
        <v>5406</v>
      </c>
      <c r="D502" s="237" t="s">
        <v>1070</v>
      </c>
      <c r="E502" s="238" t="s">
        <v>1071</v>
      </c>
      <c r="F502" s="239" t="s">
        <v>8</v>
      </c>
      <c r="G502" s="240">
        <v>150</v>
      </c>
      <c r="H502" s="245">
        <f t="shared" si="14"/>
        <v>350</v>
      </c>
      <c r="I502" s="536">
        <f>+(615+1335)/4</f>
        <v>487.5</v>
      </c>
      <c r="J502" s="537">
        <f t="shared" si="15"/>
        <v>837.5</v>
      </c>
      <c r="K502" s="406" t="s">
        <v>4996</v>
      </c>
      <c r="L502" s="363">
        <v>5500</v>
      </c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1:36" ht="20.25" customHeight="1" x14ac:dyDescent="0.2">
      <c r="A503" s="114">
        <v>498</v>
      </c>
      <c r="B503" s="1" t="s">
        <v>1072</v>
      </c>
      <c r="C503" s="6" t="s">
        <v>5210</v>
      </c>
      <c r="D503" s="7" t="s">
        <v>1073</v>
      </c>
      <c r="E503" s="2" t="s">
        <v>1071</v>
      </c>
      <c r="F503" s="99" t="s">
        <v>11</v>
      </c>
      <c r="G503" s="121">
        <v>150</v>
      </c>
      <c r="H503" s="122">
        <f t="shared" si="14"/>
        <v>350</v>
      </c>
      <c r="I503" s="520">
        <f>+(615+1335)/4</f>
        <v>487.5</v>
      </c>
      <c r="J503" s="514">
        <f t="shared" si="15"/>
        <v>837.5</v>
      </c>
      <c r="K503" s="262"/>
      <c r="L503" s="267"/>
    </row>
    <row r="504" spans="1:36" ht="20.25" customHeight="1" x14ac:dyDescent="0.2">
      <c r="A504" s="114">
        <v>499</v>
      </c>
      <c r="B504" s="1" t="s">
        <v>1074</v>
      </c>
      <c r="C504" s="6" t="s">
        <v>5407</v>
      </c>
      <c r="D504" s="7" t="s">
        <v>1075</v>
      </c>
      <c r="E504" s="2" t="s">
        <v>1071</v>
      </c>
      <c r="F504" s="99" t="s">
        <v>14</v>
      </c>
      <c r="G504" s="121">
        <v>100</v>
      </c>
      <c r="H504" s="122">
        <f t="shared" si="14"/>
        <v>400</v>
      </c>
      <c r="I504" s="520">
        <f>+(615+1335)/4</f>
        <v>487.5</v>
      </c>
      <c r="J504" s="514">
        <f t="shared" si="15"/>
        <v>887.5</v>
      </c>
      <c r="K504" s="262"/>
      <c r="L504" s="267"/>
    </row>
    <row r="505" spans="1:36" ht="20.25" customHeight="1" thickBot="1" x14ac:dyDescent="0.25">
      <c r="A505" s="117">
        <v>500</v>
      </c>
      <c r="B505" s="3" t="s">
        <v>1076</v>
      </c>
      <c r="C505" s="8" t="s">
        <v>5408</v>
      </c>
      <c r="D505" s="9" t="s">
        <v>1077</v>
      </c>
      <c r="E505" s="4" t="s">
        <v>1071</v>
      </c>
      <c r="F505" s="101" t="s">
        <v>17</v>
      </c>
      <c r="G505" s="128">
        <v>100</v>
      </c>
      <c r="H505" s="157">
        <f t="shared" si="14"/>
        <v>400</v>
      </c>
      <c r="I505" s="522">
        <f>+(615+1335)/4</f>
        <v>487.5</v>
      </c>
      <c r="J505" s="519">
        <f t="shared" si="15"/>
        <v>887.5</v>
      </c>
      <c r="K505" s="268"/>
      <c r="L505" s="269"/>
    </row>
    <row r="506" spans="1:36" ht="20.25" customHeight="1" x14ac:dyDescent="0.2">
      <c r="A506" s="108">
        <v>501</v>
      </c>
      <c r="B506" s="171" t="s">
        <v>1078</v>
      </c>
      <c r="C506" s="110" t="s">
        <v>5409</v>
      </c>
      <c r="D506" s="111" t="s">
        <v>1030</v>
      </c>
      <c r="E506" s="112" t="s">
        <v>1079</v>
      </c>
      <c r="F506" s="113" t="s">
        <v>8</v>
      </c>
      <c r="G506" s="119">
        <v>50</v>
      </c>
      <c r="H506" s="120">
        <f t="shared" si="14"/>
        <v>450</v>
      </c>
      <c r="I506" s="511">
        <f>+(845+1155)/4</f>
        <v>500</v>
      </c>
      <c r="J506" s="512">
        <f t="shared" si="15"/>
        <v>950</v>
      </c>
      <c r="K506" s="260"/>
      <c r="L506" s="365"/>
    </row>
    <row r="507" spans="1:36" ht="20.25" customHeight="1" x14ac:dyDescent="0.2">
      <c r="A507" s="114">
        <v>502</v>
      </c>
      <c r="B507" s="1" t="s">
        <v>1080</v>
      </c>
      <c r="C507" s="6" t="s">
        <v>5410</v>
      </c>
      <c r="D507" s="7" t="s">
        <v>1081</v>
      </c>
      <c r="E507" s="2" t="s">
        <v>1079</v>
      </c>
      <c r="F507" s="99" t="s">
        <v>11</v>
      </c>
      <c r="G507" s="121">
        <v>50</v>
      </c>
      <c r="H507" s="122">
        <f t="shared" si="14"/>
        <v>450</v>
      </c>
      <c r="I507" s="520">
        <f>+(845+1155)/4</f>
        <v>500</v>
      </c>
      <c r="J507" s="514">
        <f t="shared" si="15"/>
        <v>950</v>
      </c>
      <c r="K507" s="262"/>
      <c r="L507" s="267"/>
    </row>
    <row r="508" spans="1:36" ht="20.25" customHeight="1" x14ac:dyDescent="0.2">
      <c r="A508" s="114">
        <v>503</v>
      </c>
      <c r="B508" s="1" t="s">
        <v>1082</v>
      </c>
      <c r="C508" s="6" t="s">
        <v>5411</v>
      </c>
      <c r="D508" s="7" t="s">
        <v>1083</v>
      </c>
      <c r="E508" s="2" t="s">
        <v>1079</v>
      </c>
      <c r="F508" s="99" t="s">
        <v>14</v>
      </c>
      <c r="G508" s="121">
        <v>50</v>
      </c>
      <c r="H508" s="122">
        <f t="shared" si="14"/>
        <v>450</v>
      </c>
      <c r="I508" s="520">
        <f>+(845+1155)/4</f>
        <v>500</v>
      </c>
      <c r="J508" s="514">
        <f t="shared" si="15"/>
        <v>950</v>
      </c>
      <c r="K508" s="262"/>
      <c r="L508" s="267"/>
    </row>
    <row r="509" spans="1:36" ht="20.25" customHeight="1" thickBot="1" x14ac:dyDescent="0.25">
      <c r="A509" s="158">
        <v>504</v>
      </c>
      <c r="B509" s="159" t="s">
        <v>1084</v>
      </c>
      <c r="C509" s="160" t="s">
        <v>5412</v>
      </c>
      <c r="D509" s="161" t="s">
        <v>1085</v>
      </c>
      <c r="E509" s="162" t="s">
        <v>1079</v>
      </c>
      <c r="F509" s="163" t="s">
        <v>17</v>
      </c>
      <c r="G509" s="164">
        <v>50</v>
      </c>
      <c r="H509" s="153">
        <f t="shared" si="14"/>
        <v>450</v>
      </c>
      <c r="I509" s="521">
        <f>+(845+1155)/4</f>
        <v>500</v>
      </c>
      <c r="J509" s="516">
        <f t="shared" si="15"/>
        <v>950</v>
      </c>
      <c r="K509" s="277"/>
      <c r="L509" s="364"/>
    </row>
    <row r="510" spans="1:36" ht="20.25" customHeight="1" x14ac:dyDescent="0.2">
      <c r="A510" s="115">
        <v>505</v>
      </c>
      <c r="B510" s="61" t="s">
        <v>1086</v>
      </c>
      <c r="C510" s="62" t="s">
        <v>5413</v>
      </c>
      <c r="D510" s="63" t="s">
        <v>1087</v>
      </c>
      <c r="E510" s="12" t="s">
        <v>1088</v>
      </c>
      <c r="F510" s="172" t="s">
        <v>8</v>
      </c>
      <c r="G510" s="173">
        <v>50</v>
      </c>
      <c r="H510" s="124">
        <f t="shared" si="14"/>
        <v>450</v>
      </c>
      <c r="I510" s="513">
        <f>+(450+0)/4</f>
        <v>112.5</v>
      </c>
      <c r="J510" s="517">
        <f t="shared" si="15"/>
        <v>562.5</v>
      </c>
      <c r="K510" s="264"/>
      <c r="L510" s="363"/>
    </row>
    <row r="511" spans="1:36" ht="20.25" customHeight="1" x14ac:dyDescent="0.2">
      <c r="A511" s="114">
        <v>506</v>
      </c>
      <c r="B511" s="47" t="s">
        <v>4953</v>
      </c>
      <c r="C511" s="10" t="s">
        <v>5414</v>
      </c>
      <c r="D511" s="11" t="s">
        <v>4873</v>
      </c>
      <c r="E511" s="5" t="s">
        <v>1088</v>
      </c>
      <c r="F511" s="100">
        <v>2</v>
      </c>
      <c r="G511" s="125">
        <v>50</v>
      </c>
      <c r="H511" s="122">
        <f t="shared" si="14"/>
        <v>450</v>
      </c>
      <c r="I511" s="520">
        <f>+(450+0)/4</f>
        <v>112.5</v>
      </c>
      <c r="J511" s="514">
        <f t="shared" si="15"/>
        <v>562.5</v>
      </c>
      <c r="K511" s="262"/>
      <c r="L511" s="267"/>
    </row>
    <row r="512" spans="1:36" ht="20.25" customHeight="1" x14ac:dyDescent="0.2">
      <c r="A512" s="114">
        <v>507</v>
      </c>
      <c r="B512" s="47" t="s">
        <v>4954</v>
      </c>
      <c r="C512" s="10" t="s">
        <v>5415</v>
      </c>
      <c r="D512" s="11" t="s">
        <v>4874</v>
      </c>
      <c r="E512" s="5" t="s">
        <v>1088</v>
      </c>
      <c r="F512" s="100">
        <v>3</v>
      </c>
      <c r="G512" s="125">
        <v>50</v>
      </c>
      <c r="H512" s="122">
        <f t="shared" si="14"/>
        <v>450</v>
      </c>
      <c r="I512" s="520">
        <f>+(450+0)/4</f>
        <v>112.5</v>
      </c>
      <c r="J512" s="514">
        <f t="shared" si="15"/>
        <v>562.5</v>
      </c>
      <c r="K512" s="262"/>
      <c r="L512" s="267"/>
    </row>
    <row r="513" spans="1:12" ht="20.25" customHeight="1" thickBot="1" x14ac:dyDescent="0.25">
      <c r="A513" s="117">
        <v>508</v>
      </c>
      <c r="B513" s="357" t="s">
        <v>1089</v>
      </c>
      <c r="C513" s="358" t="s">
        <v>5153</v>
      </c>
      <c r="D513" s="359" t="s">
        <v>1090</v>
      </c>
      <c r="E513" s="360" t="s">
        <v>1088</v>
      </c>
      <c r="F513" s="361" t="s">
        <v>17</v>
      </c>
      <c r="G513" s="362">
        <v>100</v>
      </c>
      <c r="H513" s="157">
        <f t="shared" si="14"/>
        <v>400</v>
      </c>
      <c r="I513" s="522">
        <f>+(450+0)/4</f>
        <v>112.5</v>
      </c>
      <c r="J513" s="519">
        <f t="shared" si="15"/>
        <v>512.5</v>
      </c>
      <c r="K513" s="268"/>
      <c r="L513" s="269"/>
    </row>
    <row r="514" spans="1:12" ht="20.25" customHeight="1" x14ac:dyDescent="0.2">
      <c r="A514" s="108">
        <v>509</v>
      </c>
      <c r="B514" s="171" t="s">
        <v>1091</v>
      </c>
      <c r="C514" s="110" t="s">
        <v>5416</v>
      </c>
      <c r="D514" s="111" t="s">
        <v>1092</v>
      </c>
      <c r="E514" s="112" t="s">
        <v>1093</v>
      </c>
      <c r="F514" s="113" t="s">
        <v>8</v>
      </c>
      <c r="G514" s="119">
        <v>50</v>
      </c>
      <c r="H514" s="120">
        <f t="shared" si="14"/>
        <v>450</v>
      </c>
      <c r="I514" s="511">
        <f>+(0+305)/4</f>
        <v>76.25</v>
      </c>
      <c r="J514" s="512">
        <f t="shared" si="15"/>
        <v>526.25</v>
      </c>
      <c r="K514" s="260"/>
      <c r="L514" s="365"/>
    </row>
    <row r="515" spans="1:12" ht="20.25" customHeight="1" x14ac:dyDescent="0.2">
      <c r="A515" s="114">
        <v>510</v>
      </c>
      <c r="B515" s="1" t="s">
        <v>1094</v>
      </c>
      <c r="C515" s="6" t="s">
        <v>5417</v>
      </c>
      <c r="D515" s="7" t="s">
        <v>1095</v>
      </c>
      <c r="E515" s="2" t="s">
        <v>1093</v>
      </c>
      <c r="F515" s="99" t="s">
        <v>11</v>
      </c>
      <c r="G515" s="121">
        <v>50</v>
      </c>
      <c r="H515" s="122">
        <f t="shared" si="14"/>
        <v>450</v>
      </c>
      <c r="I515" s="520">
        <f>+(0+305)/4</f>
        <v>76.25</v>
      </c>
      <c r="J515" s="514">
        <f t="shared" si="15"/>
        <v>526.25</v>
      </c>
      <c r="K515" s="262"/>
      <c r="L515" s="267"/>
    </row>
    <row r="516" spans="1:12" ht="20.25" customHeight="1" x14ac:dyDescent="0.2">
      <c r="A516" s="114">
        <v>511</v>
      </c>
      <c r="B516" s="1" t="s">
        <v>1096</v>
      </c>
      <c r="C516" s="6" t="s">
        <v>5418</v>
      </c>
      <c r="D516" s="7" t="s">
        <v>1097</v>
      </c>
      <c r="E516" s="2" t="s">
        <v>1093</v>
      </c>
      <c r="F516" s="99" t="s">
        <v>14</v>
      </c>
      <c r="G516" s="121">
        <v>150</v>
      </c>
      <c r="H516" s="122">
        <f t="shared" si="14"/>
        <v>350</v>
      </c>
      <c r="I516" s="520">
        <f>+(0+305)/4</f>
        <v>76.25</v>
      </c>
      <c r="J516" s="514">
        <f t="shared" si="15"/>
        <v>426.25</v>
      </c>
      <c r="K516" s="262"/>
      <c r="L516" s="267"/>
    </row>
    <row r="517" spans="1:12" ht="20.25" customHeight="1" thickBot="1" x14ac:dyDescent="0.25">
      <c r="A517" s="158">
        <v>512</v>
      </c>
      <c r="B517" s="159" t="s">
        <v>1098</v>
      </c>
      <c r="C517" s="160" t="s">
        <v>5419</v>
      </c>
      <c r="D517" s="161" t="s">
        <v>1099</v>
      </c>
      <c r="E517" s="162" t="s">
        <v>1093</v>
      </c>
      <c r="F517" s="163" t="s">
        <v>17</v>
      </c>
      <c r="G517" s="164">
        <v>100</v>
      </c>
      <c r="H517" s="153">
        <f t="shared" si="14"/>
        <v>400</v>
      </c>
      <c r="I517" s="521">
        <f>+(0+305)/4</f>
        <v>76.25</v>
      </c>
      <c r="J517" s="516">
        <f t="shared" si="15"/>
        <v>476.25</v>
      </c>
      <c r="K517" s="277"/>
      <c r="L517" s="364"/>
    </row>
    <row r="518" spans="1:12" ht="20.25" customHeight="1" x14ac:dyDescent="0.2">
      <c r="A518" s="115">
        <v>513</v>
      </c>
      <c r="B518" s="64" t="s">
        <v>1100</v>
      </c>
      <c r="C518" s="65" t="s">
        <v>5420</v>
      </c>
      <c r="D518" s="66" t="s">
        <v>1101</v>
      </c>
      <c r="E518" s="67" t="s">
        <v>1102</v>
      </c>
      <c r="F518" s="98" t="s">
        <v>8</v>
      </c>
      <c r="G518" s="123">
        <v>100</v>
      </c>
      <c r="H518" s="124">
        <f t="shared" si="14"/>
        <v>400</v>
      </c>
      <c r="I518" s="513">
        <f>+(395+1355)/4</f>
        <v>437.5</v>
      </c>
      <c r="J518" s="517">
        <f t="shared" si="15"/>
        <v>837.5</v>
      </c>
      <c r="K518" s="264"/>
      <c r="L518" s="363"/>
    </row>
    <row r="519" spans="1:12" ht="20.25" customHeight="1" x14ac:dyDescent="0.2">
      <c r="A519" s="114">
        <v>514</v>
      </c>
      <c r="B519" s="1" t="s">
        <v>1103</v>
      </c>
      <c r="C519" s="6" t="s">
        <v>5146</v>
      </c>
      <c r="D519" s="7" t="s">
        <v>1104</v>
      </c>
      <c r="E519" s="2" t="s">
        <v>1102</v>
      </c>
      <c r="F519" s="99" t="s">
        <v>11</v>
      </c>
      <c r="G519" s="121">
        <v>50</v>
      </c>
      <c r="H519" s="122">
        <f t="shared" ref="H519:H582" si="16">500-G519</f>
        <v>450</v>
      </c>
      <c r="I519" s="520">
        <f>+(395+1355)/4</f>
        <v>437.5</v>
      </c>
      <c r="J519" s="514">
        <f t="shared" si="15"/>
        <v>887.5</v>
      </c>
      <c r="K519" s="262"/>
      <c r="L519" s="267"/>
    </row>
    <row r="520" spans="1:12" ht="20.25" customHeight="1" x14ac:dyDescent="0.2">
      <c r="A520" s="114">
        <v>515</v>
      </c>
      <c r="B520" s="1" t="s">
        <v>1105</v>
      </c>
      <c r="C520" s="6" t="s">
        <v>5197</v>
      </c>
      <c r="D520" s="7" t="s">
        <v>1106</v>
      </c>
      <c r="E520" s="2" t="s">
        <v>1102</v>
      </c>
      <c r="F520" s="99" t="s">
        <v>14</v>
      </c>
      <c r="G520" s="121">
        <v>50</v>
      </c>
      <c r="H520" s="122">
        <f t="shared" si="16"/>
        <v>450</v>
      </c>
      <c r="I520" s="520">
        <f>+(395+1355)/4</f>
        <v>437.5</v>
      </c>
      <c r="J520" s="514">
        <f t="shared" ref="J520:J583" si="17">SUM(H520:I520)</f>
        <v>887.5</v>
      </c>
      <c r="K520" s="262"/>
      <c r="L520" s="267"/>
    </row>
    <row r="521" spans="1:12" ht="20.25" customHeight="1" thickBot="1" x14ac:dyDescent="0.25">
      <c r="A521" s="117">
        <v>516</v>
      </c>
      <c r="B521" s="3" t="s">
        <v>1107</v>
      </c>
      <c r="C521" s="8" t="s">
        <v>5421</v>
      </c>
      <c r="D521" s="9" t="s">
        <v>1108</v>
      </c>
      <c r="E521" s="4" t="s">
        <v>1102</v>
      </c>
      <c r="F521" s="101" t="s">
        <v>17</v>
      </c>
      <c r="G521" s="128">
        <v>50</v>
      </c>
      <c r="H521" s="157">
        <f t="shared" si="16"/>
        <v>450</v>
      </c>
      <c r="I521" s="522">
        <f>+(395+1355)/4</f>
        <v>437.5</v>
      </c>
      <c r="J521" s="519">
        <f t="shared" si="17"/>
        <v>887.5</v>
      </c>
      <c r="K521" s="268"/>
      <c r="L521" s="269"/>
    </row>
    <row r="522" spans="1:12" ht="20.25" customHeight="1" x14ac:dyDescent="0.2">
      <c r="A522" s="108">
        <v>517</v>
      </c>
      <c r="B522" s="171" t="s">
        <v>1109</v>
      </c>
      <c r="C522" s="110" t="s">
        <v>5333</v>
      </c>
      <c r="D522" s="111" t="s">
        <v>1110</v>
      </c>
      <c r="E522" s="112" t="s">
        <v>1111</v>
      </c>
      <c r="F522" s="113" t="s">
        <v>8</v>
      </c>
      <c r="G522" s="119">
        <v>50</v>
      </c>
      <c r="H522" s="120">
        <f t="shared" si="16"/>
        <v>450</v>
      </c>
      <c r="I522" s="511">
        <f>+(430+995)/4</f>
        <v>356.25</v>
      </c>
      <c r="J522" s="512">
        <f t="shared" si="17"/>
        <v>806.25</v>
      </c>
      <c r="K522" s="260"/>
      <c r="L522" s="365"/>
    </row>
    <row r="523" spans="1:12" ht="20.25" customHeight="1" x14ac:dyDescent="0.2">
      <c r="A523" s="114">
        <v>518</v>
      </c>
      <c r="B523" s="1" t="s">
        <v>1112</v>
      </c>
      <c r="C523" s="6" t="s">
        <v>5422</v>
      </c>
      <c r="D523" s="7" t="s">
        <v>1113</v>
      </c>
      <c r="E523" s="2" t="s">
        <v>1111</v>
      </c>
      <c r="F523" s="99" t="s">
        <v>11</v>
      </c>
      <c r="G523" s="121">
        <v>100</v>
      </c>
      <c r="H523" s="122">
        <f t="shared" si="16"/>
        <v>400</v>
      </c>
      <c r="I523" s="520">
        <f>+(430+995)/4</f>
        <v>356.25</v>
      </c>
      <c r="J523" s="514">
        <f t="shared" si="17"/>
        <v>756.25</v>
      </c>
      <c r="K523" s="262"/>
      <c r="L523" s="267"/>
    </row>
    <row r="524" spans="1:12" ht="20.25" customHeight="1" x14ac:dyDescent="0.2">
      <c r="A524" s="114">
        <v>519</v>
      </c>
      <c r="B524" s="1" t="s">
        <v>1114</v>
      </c>
      <c r="C524" s="6" t="s">
        <v>5423</v>
      </c>
      <c r="D524" s="7" t="s">
        <v>1115</v>
      </c>
      <c r="E524" s="2" t="s">
        <v>1111</v>
      </c>
      <c r="F524" s="99" t="s">
        <v>14</v>
      </c>
      <c r="G524" s="121">
        <v>50</v>
      </c>
      <c r="H524" s="122">
        <f t="shared" si="16"/>
        <v>450</v>
      </c>
      <c r="I524" s="520">
        <f>+(430+995)/4</f>
        <v>356.25</v>
      </c>
      <c r="J524" s="514">
        <f t="shared" si="17"/>
        <v>806.25</v>
      </c>
      <c r="K524" s="262"/>
      <c r="L524" s="267"/>
    </row>
    <row r="525" spans="1:12" ht="20.25" customHeight="1" thickBot="1" x14ac:dyDescent="0.25">
      <c r="A525" s="158">
        <v>520</v>
      </c>
      <c r="B525" s="159" t="s">
        <v>1116</v>
      </c>
      <c r="C525" s="160" t="s">
        <v>5424</v>
      </c>
      <c r="D525" s="161" t="s">
        <v>1117</v>
      </c>
      <c r="E525" s="162" t="s">
        <v>1111</v>
      </c>
      <c r="F525" s="163" t="s">
        <v>17</v>
      </c>
      <c r="G525" s="164">
        <v>50</v>
      </c>
      <c r="H525" s="153">
        <f t="shared" si="16"/>
        <v>450</v>
      </c>
      <c r="I525" s="521">
        <f>+(430+995)/4</f>
        <v>356.25</v>
      </c>
      <c r="J525" s="516">
        <f t="shared" si="17"/>
        <v>806.25</v>
      </c>
      <c r="K525" s="277"/>
      <c r="L525" s="364"/>
    </row>
    <row r="526" spans="1:12" ht="20.25" customHeight="1" x14ac:dyDescent="0.2">
      <c r="A526" s="115">
        <v>521</v>
      </c>
      <c r="B526" s="64" t="s">
        <v>1118</v>
      </c>
      <c r="C526" s="65" t="s">
        <v>5425</v>
      </c>
      <c r="D526" s="66" t="s">
        <v>1119</v>
      </c>
      <c r="E526" s="67" t="s">
        <v>1120</v>
      </c>
      <c r="F526" s="98" t="s">
        <v>8</v>
      </c>
      <c r="G526" s="123">
        <v>100</v>
      </c>
      <c r="H526" s="124">
        <f t="shared" si="16"/>
        <v>400</v>
      </c>
      <c r="I526" s="513">
        <f>+(915+1205)/4</f>
        <v>530</v>
      </c>
      <c r="J526" s="517">
        <f t="shared" si="17"/>
        <v>930</v>
      </c>
      <c r="K526" s="264"/>
      <c r="L526" s="363"/>
    </row>
    <row r="527" spans="1:12" ht="20.25" customHeight="1" x14ac:dyDescent="0.2">
      <c r="A527" s="114">
        <v>522</v>
      </c>
      <c r="B527" s="1" t="s">
        <v>1121</v>
      </c>
      <c r="C527" s="6" t="s">
        <v>5426</v>
      </c>
      <c r="D527" s="7" t="s">
        <v>1122</v>
      </c>
      <c r="E527" s="2" t="s">
        <v>1120</v>
      </c>
      <c r="F527" s="99" t="s">
        <v>11</v>
      </c>
      <c r="G527" s="121">
        <v>150</v>
      </c>
      <c r="H527" s="122">
        <f t="shared" si="16"/>
        <v>350</v>
      </c>
      <c r="I527" s="520">
        <f>+(915+1205)/4</f>
        <v>530</v>
      </c>
      <c r="J527" s="514">
        <f t="shared" si="17"/>
        <v>880</v>
      </c>
      <c r="K527" s="262"/>
      <c r="L527" s="267"/>
    </row>
    <row r="528" spans="1:12" ht="20.25" customHeight="1" x14ac:dyDescent="0.2">
      <c r="A528" s="114">
        <v>523</v>
      </c>
      <c r="B528" s="1" t="s">
        <v>1123</v>
      </c>
      <c r="C528" s="6" t="s">
        <v>5427</v>
      </c>
      <c r="D528" s="7" t="s">
        <v>1124</v>
      </c>
      <c r="E528" s="2" t="s">
        <v>1120</v>
      </c>
      <c r="F528" s="99" t="s">
        <v>14</v>
      </c>
      <c r="G528" s="121">
        <v>50</v>
      </c>
      <c r="H528" s="122">
        <f t="shared" si="16"/>
        <v>450</v>
      </c>
      <c r="I528" s="520">
        <f>+(915+1205)/4</f>
        <v>530</v>
      </c>
      <c r="J528" s="514">
        <f t="shared" si="17"/>
        <v>980</v>
      </c>
      <c r="K528" s="262"/>
      <c r="L528" s="267"/>
    </row>
    <row r="529" spans="1:36" ht="20.25" customHeight="1" thickBot="1" x14ac:dyDescent="0.25">
      <c r="A529" s="117">
        <v>524</v>
      </c>
      <c r="B529" s="3" t="s">
        <v>1125</v>
      </c>
      <c r="C529" s="8" t="s">
        <v>5428</v>
      </c>
      <c r="D529" s="9" t="s">
        <v>1126</v>
      </c>
      <c r="E529" s="4" t="s">
        <v>1120</v>
      </c>
      <c r="F529" s="101" t="s">
        <v>17</v>
      </c>
      <c r="G529" s="128">
        <v>100</v>
      </c>
      <c r="H529" s="157">
        <f t="shared" si="16"/>
        <v>400</v>
      </c>
      <c r="I529" s="522">
        <f>+(915+1205)/4</f>
        <v>530</v>
      </c>
      <c r="J529" s="519">
        <f t="shared" si="17"/>
        <v>930</v>
      </c>
      <c r="K529" s="268"/>
      <c r="L529" s="269"/>
    </row>
    <row r="530" spans="1:36" s="37" customFormat="1" ht="20.25" customHeight="1" x14ac:dyDescent="0.2">
      <c r="A530" s="165">
        <v>525</v>
      </c>
      <c r="B530" s="166" t="s">
        <v>1127</v>
      </c>
      <c r="C530" s="241" t="s">
        <v>5429</v>
      </c>
      <c r="D530" s="168" t="s">
        <v>1128</v>
      </c>
      <c r="E530" s="169" t="s">
        <v>1129</v>
      </c>
      <c r="F530" s="167" t="s">
        <v>8</v>
      </c>
      <c r="G530" s="170">
        <v>150</v>
      </c>
      <c r="H530" s="246">
        <f t="shared" si="16"/>
        <v>350</v>
      </c>
      <c r="I530" s="525">
        <f>+(965+1350)/4</f>
        <v>578.75</v>
      </c>
      <c r="J530" s="526">
        <f t="shared" si="17"/>
        <v>928.75</v>
      </c>
      <c r="K530" s="366" t="s">
        <v>4996</v>
      </c>
      <c r="L530" s="365">
        <v>5500</v>
      </c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1:36" ht="20.25" customHeight="1" x14ac:dyDescent="0.2">
      <c r="A531" s="114">
        <v>526</v>
      </c>
      <c r="B531" s="1" t="s">
        <v>1130</v>
      </c>
      <c r="C531" s="6" t="s">
        <v>5430</v>
      </c>
      <c r="D531" s="7" t="s">
        <v>1131</v>
      </c>
      <c r="E531" s="2" t="s">
        <v>1129</v>
      </c>
      <c r="F531" s="99" t="s">
        <v>11</v>
      </c>
      <c r="G531" s="121">
        <v>50</v>
      </c>
      <c r="H531" s="122">
        <f t="shared" si="16"/>
        <v>450</v>
      </c>
      <c r="I531" s="520">
        <f>+(965+1350)/4</f>
        <v>578.75</v>
      </c>
      <c r="J531" s="514">
        <f t="shared" si="17"/>
        <v>1028.75</v>
      </c>
      <c r="K531" s="262"/>
      <c r="L531" s="267"/>
    </row>
    <row r="532" spans="1:36" ht="20.25" customHeight="1" x14ac:dyDescent="0.2">
      <c r="A532" s="114">
        <v>527</v>
      </c>
      <c r="B532" s="1" t="s">
        <v>1132</v>
      </c>
      <c r="C532" s="6" t="s">
        <v>5431</v>
      </c>
      <c r="D532" s="7" t="s">
        <v>1133</v>
      </c>
      <c r="E532" s="2" t="s">
        <v>1129</v>
      </c>
      <c r="F532" s="99" t="s">
        <v>14</v>
      </c>
      <c r="G532" s="121">
        <v>100</v>
      </c>
      <c r="H532" s="122">
        <f t="shared" si="16"/>
        <v>400</v>
      </c>
      <c r="I532" s="520">
        <f>+(965+1350)/4</f>
        <v>578.75</v>
      </c>
      <c r="J532" s="514">
        <f t="shared" si="17"/>
        <v>978.75</v>
      </c>
      <c r="K532" s="262"/>
      <c r="L532" s="267"/>
    </row>
    <row r="533" spans="1:36" ht="20.25" customHeight="1" thickBot="1" x14ac:dyDescent="0.25">
      <c r="A533" s="158">
        <v>528</v>
      </c>
      <c r="B533" s="159" t="s">
        <v>1134</v>
      </c>
      <c r="C533" s="160" t="s">
        <v>5432</v>
      </c>
      <c r="D533" s="161" t="s">
        <v>1135</v>
      </c>
      <c r="E533" s="162" t="s">
        <v>1129</v>
      </c>
      <c r="F533" s="163" t="s">
        <v>17</v>
      </c>
      <c r="G533" s="164">
        <v>100</v>
      </c>
      <c r="H533" s="153">
        <f t="shared" si="16"/>
        <v>400</v>
      </c>
      <c r="I533" s="521">
        <f>+(965+1350)/4</f>
        <v>578.75</v>
      </c>
      <c r="J533" s="516">
        <f t="shared" si="17"/>
        <v>978.75</v>
      </c>
      <c r="K533" s="277"/>
      <c r="L533" s="364"/>
    </row>
    <row r="534" spans="1:36" ht="20.25" customHeight="1" x14ac:dyDescent="0.2">
      <c r="A534" s="115">
        <v>529</v>
      </c>
      <c r="B534" s="64" t="s">
        <v>1136</v>
      </c>
      <c r="C534" s="65" t="s">
        <v>5269</v>
      </c>
      <c r="D534" s="66" t="s">
        <v>1137</v>
      </c>
      <c r="E534" s="67" t="s">
        <v>1138</v>
      </c>
      <c r="F534" s="98" t="s">
        <v>8</v>
      </c>
      <c r="G534" s="123">
        <v>50</v>
      </c>
      <c r="H534" s="124">
        <f t="shared" si="16"/>
        <v>450</v>
      </c>
      <c r="I534" s="513">
        <f>+(730+780)/4</f>
        <v>377.5</v>
      </c>
      <c r="J534" s="517">
        <f t="shared" si="17"/>
        <v>827.5</v>
      </c>
      <c r="K534" s="264"/>
      <c r="L534" s="363"/>
    </row>
    <row r="535" spans="1:36" ht="20.25" customHeight="1" x14ac:dyDescent="0.2">
      <c r="A535" s="114">
        <v>530</v>
      </c>
      <c r="B535" s="1" t="s">
        <v>1139</v>
      </c>
      <c r="C535" s="6" t="s">
        <v>5187</v>
      </c>
      <c r="D535" s="7" t="s">
        <v>1140</v>
      </c>
      <c r="E535" s="2" t="s">
        <v>1138</v>
      </c>
      <c r="F535" s="99" t="s">
        <v>11</v>
      </c>
      <c r="G535" s="121">
        <v>50</v>
      </c>
      <c r="H535" s="122">
        <f t="shared" si="16"/>
        <v>450</v>
      </c>
      <c r="I535" s="520">
        <f>+(730+780)/4</f>
        <v>377.5</v>
      </c>
      <c r="J535" s="514">
        <f t="shared" si="17"/>
        <v>827.5</v>
      </c>
      <c r="K535" s="262"/>
      <c r="L535" s="267"/>
    </row>
    <row r="536" spans="1:36" ht="20.25" customHeight="1" x14ac:dyDescent="0.2">
      <c r="A536" s="114">
        <v>531</v>
      </c>
      <c r="B536" s="1" t="s">
        <v>1141</v>
      </c>
      <c r="C536" s="6" t="s">
        <v>5433</v>
      </c>
      <c r="D536" s="7" t="s">
        <v>1142</v>
      </c>
      <c r="E536" s="2" t="s">
        <v>1138</v>
      </c>
      <c r="F536" s="99" t="s">
        <v>14</v>
      </c>
      <c r="G536" s="121">
        <v>100</v>
      </c>
      <c r="H536" s="122">
        <f t="shared" si="16"/>
        <v>400</v>
      </c>
      <c r="I536" s="520">
        <f>+(730+780)/4</f>
        <v>377.5</v>
      </c>
      <c r="J536" s="514">
        <f t="shared" si="17"/>
        <v>777.5</v>
      </c>
      <c r="K536" s="262"/>
      <c r="L536" s="267"/>
    </row>
    <row r="537" spans="1:36" ht="20.25" customHeight="1" thickBot="1" x14ac:dyDescent="0.25">
      <c r="A537" s="117">
        <v>532</v>
      </c>
      <c r="B537" s="3" t="s">
        <v>1143</v>
      </c>
      <c r="C537" s="8" t="s">
        <v>5434</v>
      </c>
      <c r="D537" s="9" t="s">
        <v>1144</v>
      </c>
      <c r="E537" s="4" t="s">
        <v>1138</v>
      </c>
      <c r="F537" s="101" t="s">
        <v>17</v>
      </c>
      <c r="G537" s="128">
        <v>50</v>
      </c>
      <c r="H537" s="157">
        <f t="shared" si="16"/>
        <v>450</v>
      </c>
      <c r="I537" s="522">
        <f>+(730+780)/4</f>
        <v>377.5</v>
      </c>
      <c r="J537" s="519">
        <f t="shared" si="17"/>
        <v>827.5</v>
      </c>
      <c r="K537" s="268"/>
      <c r="L537" s="269"/>
    </row>
    <row r="538" spans="1:36" ht="20.25" customHeight="1" x14ac:dyDescent="0.2">
      <c r="A538" s="108">
        <v>533</v>
      </c>
      <c r="B538" s="171" t="s">
        <v>1145</v>
      </c>
      <c r="C538" s="110" t="s">
        <v>5435</v>
      </c>
      <c r="D538" s="111" t="s">
        <v>1146</v>
      </c>
      <c r="E538" s="112" t="s">
        <v>1147</v>
      </c>
      <c r="F538" s="113" t="s">
        <v>8</v>
      </c>
      <c r="G538" s="119">
        <v>50</v>
      </c>
      <c r="H538" s="120">
        <f t="shared" si="16"/>
        <v>450</v>
      </c>
      <c r="I538" s="511">
        <f>+(130+0)/4</f>
        <v>32.5</v>
      </c>
      <c r="J538" s="512">
        <f t="shared" si="17"/>
        <v>482.5</v>
      </c>
      <c r="K538" s="260"/>
      <c r="L538" s="365"/>
    </row>
    <row r="539" spans="1:36" ht="20.25" customHeight="1" x14ac:dyDescent="0.2">
      <c r="A539" s="114">
        <v>534</v>
      </c>
      <c r="B539" s="1" t="s">
        <v>1148</v>
      </c>
      <c r="C539" s="6" t="s">
        <v>5436</v>
      </c>
      <c r="D539" s="7" t="s">
        <v>1149</v>
      </c>
      <c r="E539" s="2" t="s">
        <v>1147</v>
      </c>
      <c r="F539" s="99" t="s">
        <v>11</v>
      </c>
      <c r="G539" s="121">
        <v>50</v>
      </c>
      <c r="H539" s="122">
        <f t="shared" si="16"/>
        <v>450</v>
      </c>
      <c r="I539" s="520">
        <f>+(130+0)/4</f>
        <v>32.5</v>
      </c>
      <c r="J539" s="514">
        <f t="shared" si="17"/>
        <v>482.5</v>
      </c>
      <c r="K539" s="262"/>
      <c r="L539" s="267"/>
    </row>
    <row r="540" spans="1:36" ht="20.25" customHeight="1" x14ac:dyDescent="0.2">
      <c r="A540" s="114">
        <v>535</v>
      </c>
      <c r="B540" s="1" t="s">
        <v>1150</v>
      </c>
      <c r="C540" s="6" t="s">
        <v>5437</v>
      </c>
      <c r="D540" s="7" t="s">
        <v>1151</v>
      </c>
      <c r="E540" s="2" t="s">
        <v>1147</v>
      </c>
      <c r="F540" s="99" t="s">
        <v>14</v>
      </c>
      <c r="G540" s="121">
        <v>50</v>
      </c>
      <c r="H540" s="122">
        <f t="shared" si="16"/>
        <v>450</v>
      </c>
      <c r="I540" s="520">
        <f>+(130+0)/4</f>
        <v>32.5</v>
      </c>
      <c r="J540" s="514">
        <f t="shared" si="17"/>
        <v>482.5</v>
      </c>
      <c r="K540" s="262"/>
      <c r="L540" s="267"/>
    </row>
    <row r="541" spans="1:36" ht="20.25" customHeight="1" thickBot="1" x14ac:dyDescent="0.25">
      <c r="A541" s="158">
        <v>536</v>
      </c>
      <c r="B541" s="159" t="s">
        <v>1152</v>
      </c>
      <c r="C541" s="160" t="s">
        <v>5427</v>
      </c>
      <c r="D541" s="161" t="s">
        <v>1153</v>
      </c>
      <c r="E541" s="162" t="s">
        <v>1147</v>
      </c>
      <c r="F541" s="163" t="s">
        <v>17</v>
      </c>
      <c r="G541" s="164">
        <v>50</v>
      </c>
      <c r="H541" s="153">
        <f t="shared" si="16"/>
        <v>450</v>
      </c>
      <c r="I541" s="521">
        <f>+(130+0)/4</f>
        <v>32.5</v>
      </c>
      <c r="J541" s="516">
        <f t="shared" si="17"/>
        <v>482.5</v>
      </c>
      <c r="K541" s="277"/>
      <c r="L541" s="364"/>
    </row>
    <row r="542" spans="1:36" ht="20.25" customHeight="1" x14ac:dyDescent="0.2">
      <c r="A542" s="115">
        <v>537</v>
      </c>
      <c r="B542" s="64" t="s">
        <v>1154</v>
      </c>
      <c r="C542" s="65" t="s">
        <v>5256</v>
      </c>
      <c r="D542" s="66" t="s">
        <v>1155</v>
      </c>
      <c r="E542" s="67" t="s">
        <v>1156</v>
      </c>
      <c r="F542" s="98" t="s">
        <v>8</v>
      </c>
      <c r="G542" s="123">
        <v>50</v>
      </c>
      <c r="H542" s="124">
        <f t="shared" si="16"/>
        <v>450</v>
      </c>
      <c r="I542" s="513">
        <f>+(455+750)/4</f>
        <v>301.25</v>
      </c>
      <c r="J542" s="517">
        <f t="shared" si="17"/>
        <v>751.25</v>
      </c>
      <c r="K542" s="264"/>
      <c r="L542" s="363"/>
    </row>
    <row r="543" spans="1:36" ht="20.25" customHeight="1" x14ac:dyDescent="0.2">
      <c r="A543" s="114">
        <v>538</v>
      </c>
      <c r="B543" s="1" t="s">
        <v>1157</v>
      </c>
      <c r="C543" s="6" t="s">
        <v>5023</v>
      </c>
      <c r="D543" s="7" t="s">
        <v>1158</v>
      </c>
      <c r="E543" s="2" t="s">
        <v>1156</v>
      </c>
      <c r="F543" s="99" t="s">
        <v>11</v>
      </c>
      <c r="G543" s="121">
        <v>50</v>
      </c>
      <c r="H543" s="122">
        <f t="shared" si="16"/>
        <v>450</v>
      </c>
      <c r="I543" s="520">
        <f>+(455+750)/4</f>
        <v>301.25</v>
      </c>
      <c r="J543" s="514">
        <f t="shared" si="17"/>
        <v>751.25</v>
      </c>
      <c r="K543" s="262"/>
      <c r="L543" s="267"/>
    </row>
    <row r="544" spans="1:36" ht="20.25" customHeight="1" x14ac:dyDescent="0.2">
      <c r="A544" s="114">
        <v>539</v>
      </c>
      <c r="B544" s="1" t="s">
        <v>1159</v>
      </c>
      <c r="C544" s="6" t="s">
        <v>5438</v>
      </c>
      <c r="D544" s="7" t="s">
        <v>1160</v>
      </c>
      <c r="E544" s="2" t="s">
        <v>1156</v>
      </c>
      <c r="F544" s="99" t="s">
        <v>14</v>
      </c>
      <c r="G544" s="121">
        <v>50</v>
      </c>
      <c r="H544" s="122">
        <f t="shared" si="16"/>
        <v>450</v>
      </c>
      <c r="I544" s="520">
        <f>+(455+750)/4</f>
        <v>301.25</v>
      </c>
      <c r="J544" s="514">
        <f t="shared" si="17"/>
        <v>751.25</v>
      </c>
      <c r="K544" s="262"/>
      <c r="L544" s="267"/>
    </row>
    <row r="545" spans="1:36" ht="20.25" customHeight="1" thickBot="1" x14ac:dyDescent="0.25">
      <c r="A545" s="117">
        <v>540</v>
      </c>
      <c r="B545" s="3" t="s">
        <v>1161</v>
      </c>
      <c r="C545" s="8" t="s">
        <v>5439</v>
      </c>
      <c r="D545" s="9" t="s">
        <v>1162</v>
      </c>
      <c r="E545" s="4" t="s">
        <v>1156</v>
      </c>
      <c r="F545" s="101" t="s">
        <v>17</v>
      </c>
      <c r="G545" s="128">
        <v>50</v>
      </c>
      <c r="H545" s="157">
        <f t="shared" si="16"/>
        <v>450</v>
      </c>
      <c r="I545" s="522">
        <f>+(455+750)/4</f>
        <v>301.25</v>
      </c>
      <c r="J545" s="519">
        <f t="shared" si="17"/>
        <v>751.25</v>
      </c>
      <c r="K545" s="268"/>
      <c r="L545" s="269"/>
    </row>
    <row r="546" spans="1:36" ht="20.25" customHeight="1" x14ac:dyDescent="0.2">
      <c r="A546" s="108">
        <v>541</v>
      </c>
      <c r="B546" s="171" t="s">
        <v>1163</v>
      </c>
      <c r="C546" s="110" t="s">
        <v>5440</v>
      </c>
      <c r="D546" s="111" t="s">
        <v>1164</v>
      </c>
      <c r="E546" s="112" t="s">
        <v>1165</v>
      </c>
      <c r="F546" s="113" t="s">
        <v>8</v>
      </c>
      <c r="G546" s="119">
        <v>50</v>
      </c>
      <c r="H546" s="120">
        <f t="shared" si="16"/>
        <v>450</v>
      </c>
      <c r="I546" s="511">
        <f>+(625+1000)/4</f>
        <v>406.25</v>
      </c>
      <c r="J546" s="512">
        <f t="shared" si="17"/>
        <v>856.25</v>
      </c>
      <c r="K546" s="260"/>
      <c r="L546" s="365"/>
    </row>
    <row r="547" spans="1:36" ht="20.25" customHeight="1" x14ac:dyDescent="0.2">
      <c r="A547" s="114">
        <v>542</v>
      </c>
      <c r="B547" s="1" t="s">
        <v>1166</v>
      </c>
      <c r="C547" s="6" t="s">
        <v>5441</v>
      </c>
      <c r="D547" s="7" t="s">
        <v>1167</v>
      </c>
      <c r="E547" s="2" t="s">
        <v>1165</v>
      </c>
      <c r="F547" s="99" t="s">
        <v>11</v>
      </c>
      <c r="G547" s="121">
        <v>50</v>
      </c>
      <c r="H547" s="122">
        <f t="shared" si="16"/>
        <v>450</v>
      </c>
      <c r="I547" s="520">
        <f>+(625+1000)/4</f>
        <v>406.25</v>
      </c>
      <c r="J547" s="514">
        <f t="shared" si="17"/>
        <v>856.25</v>
      </c>
      <c r="K547" s="262"/>
      <c r="L547" s="267"/>
    </row>
    <row r="548" spans="1:36" ht="20.25" customHeight="1" x14ac:dyDescent="0.2">
      <c r="A548" s="114">
        <v>543</v>
      </c>
      <c r="B548" s="1" t="s">
        <v>1168</v>
      </c>
      <c r="C548" s="6" t="s">
        <v>5442</v>
      </c>
      <c r="D548" s="7" t="s">
        <v>1169</v>
      </c>
      <c r="E548" s="2" t="s">
        <v>1165</v>
      </c>
      <c r="F548" s="99" t="s">
        <v>14</v>
      </c>
      <c r="G548" s="121">
        <v>50</v>
      </c>
      <c r="H548" s="122">
        <f t="shared" si="16"/>
        <v>450</v>
      </c>
      <c r="I548" s="520">
        <f>+(625+1000)/4</f>
        <v>406.25</v>
      </c>
      <c r="J548" s="514">
        <f t="shared" si="17"/>
        <v>856.25</v>
      </c>
      <c r="K548" s="262"/>
      <c r="L548" s="267"/>
    </row>
    <row r="549" spans="1:36" ht="20.25" customHeight="1" thickBot="1" x14ac:dyDescent="0.25">
      <c r="A549" s="158">
        <v>544</v>
      </c>
      <c r="B549" s="159" t="s">
        <v>1170</v>
      </c>
      <c r="C549" s="160" t="s">
        <v>5443</v>
      </c>
      <c r="D549" s="161" t="s">
        <v>1171</v>
      </c>
      <c r="E549" s="162" t="s">
        <v>1165</v>
      </c>
      <c r="F549" s="163" t="s">
        <v>17</v>
      </c>
      <c r="G549" s="164">
        <v>50</v>
      </c>
      <c r="H549" s="153">
        <f t="shared" si="16"/>
        <v>450</v>
      </c>
      <c r="I549" s="521">
        <f>+(625+1000)/4</f>
        <v>406.25</v>
      </c>
      <c r="J549" s="516">
        <f t="shared" si="17"/>
        <v>856.25</v>
      </c>
      <c r="K549" s="277"/>
      <c r="L549" s="364"/>
    </row>
    <row r="550" spans="1:36" ht="20.25" customHeight="1" x14ac:dyDescent="0.2">
      <c r="A550" s="115">
        <v>545</v>
      </c>
      <c r="B550" s="61" t="s">
        <v>1172</v>
      </c>
      <c r="C550" s="62" t="s">
        <v>5444</v>
      </c>
      <c r="D550" s="63" t="s">
        <v>1173</v>
      </c>
      <c r="E550" s="12" t="s">
        <v>1174</v>
      </c>
      <c r="F550" s="172" t="s">
        <v>8</v>
      </c>
      <c r="G550" s="173">
        <v>50</v>
      </c>
      <c r="H550" s="124">
        <f t="shared" si="16"/>
        <v>450</v>
      </c>
      <c r="I550" s="513">
        <f>+(0+1040)/4</f>
        <v>260</v>
      </c>
      <c r="J550" s="517">
        <f t="shared" si="17"/>
        <v>710</v>
      </c>
      <c r="K550" s="264"/>
      <c r="L550" s="363"/>
    </row>
    <row r="551" spans="1:36" ht="20.25" customHeight="1" x14ac:dyDescent="0.2">
      <c r="A551" s="114">
        <v>546</v>
      </c>
      <c r="B551" s="47"/>
      <c r="C551" s="10" t="s">
        <v>5445</v>
      </c>
      <c r="D551" s="11" t="s">
        <v>4875</v>
      </c>
      <c r="E551" s="5" t="s">
        <v>1174</v>
      </c>
      <c r="F551" s="100">
        <v>2</v>
      </c>
      <c r="G551" s="125">
        <v>50</v>
      </c>
      <c r="H551" s="122">
        <f t="shared" si="16"/>
        <v>450</v>
      </c>
      <c r="I551" s="520">
        <f>+(0+1040)/4</f>
        <v>260</v>
      </c>
      <c r="J551" s="514">
        <f t="shared" si="17"/>
        <v>710</v>
      </c>
      <c r="K551" s="262"/>
      <c r="L551" s="267"/>
    </row>
    <row r="552" spans="1:36" s="37" customFormat="1" ht="20.25" customHeight="1" x14ac:dyDescent="0.2">
      <c r="A552" s="116">
        <v>547</v>
      </c>
      <c r="B552" s="48" t="s">
        <v>1175</v>
      </c>
      <c r="C552" s="39" t="s">
        <v>5446</v>
      </c>
      <c r="D552" s="38" t="s">
        <v>1176</v>
      </c>
      <c r="E552" s="36" t="s">
        <v>1174</v>
      </c>
      <c r="F552" s="105" t="s">
        <v>14</v>
      </c>
      <c r="G552" s="137">
        <v>50</v>
      </c>
      <c r="H552" s="127">
        <f t="shared" si="16"/>
        <v>450</v>
      </c>
      <c r="I552" s="523">
        <f>+(0+1040)/4</f>
        <v>260</v>
      </c>
      <c r="J552" s="524">
        <f t="shared" si="17"/>
        <v>710</v>
      </c>
      <c r="K552" s="266" t="s">
        <v>4996</v>
      </c>
      <c r="L552" s="267">
        <v>5500</v>
      </c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1:36" ht="20.25" customHeight="1" thickBot="1" x14ac:dyDescent="0.25">
      <c r="A553" s="117">
        <v>548</v>
      </c>
      <c r="B553" s="357" t="s">
        <v>1177</v>
      </c>
      <c r="C553" s="358" t="s">
        <v>5447</v>
      </c>
      <c r="D553" s="359" t="s">
        <v>1178</v>
      </c>
      <c r="E553" s="360" t="s">
        <v>1174</v>
      </c>
      <c r="F553" s="361" t="s">
        <v>17</v>
      </c>
      <c r="G553" s="362">
        <v>100</v>
      </c>
      <c r="H553" s="157">
        <f t="shared" si="16"/>
        <v>400</v>
      </c>
      <c r="I553" s="522">
        <f>+(0+1040)/4</f>
        <v>260</v>
      </c>
      <c r="J553" s="519">
        <f t="shared" si="17"/>
        <v>660</v>
      </c>
      <c r="K553" s="268"/>
      <c r="L553" s="269"/>
    </row>
    <row r="554" spans="1:36" ht="20.25" customHeight="1" x14ac:dyDescent="0.2">
      <c r="A554" s="108">
        <v>549</v>
      </c>
      <c r="B554" s="171" t="s">
        <v>1179</v>
      </c>
      <c r="C554" s="110" t="s">
        <v>5448</v>
      </c>
      <c r="D554" s="111" t="s">
        <v>1180</v>
      </c>
      <c r="E554" s="112" t="s">
        <v>1181</v>
      </c>
      <c r="F554" s="113" t="s">
        <v>8</v>
      </c>
      <c r="G554" s="119">
        <v>100</v>
      </c>
      <c r="H554" s="120">
        <f t="shared" si="16"/>
        <v>400</v>
      </c>
      <c r="I554" s="511">
        <f>+(290+445)/4</f>
        <v>183.75</v>
      </c>
      <c r="J554" s="512">
        <f t="shared" si="17"/>
        <v>583.75</v>
      </c>
      <c r="K554" s="260"/>
      <c r="L554" s="365"/>
    </row>
    <row r="555" spans="1:36" ht="20.25" customHeight="1" x14ac:dyDescent="0.2">
      <c r="A555" s="114">
        <v>550</v>
      </c>
      <c r="B555" s="1" t="s">
        <v>1182</v>
      </c>
      <c r="C555" s="6" t="s">
        <v>5023</v>
      </c>
      <c r="D555" s="7" t="s">
        <v>1183</v>
      </c>
      <c r="E555" s="2" t="s">
        <v>1181</v>
      </c>
      <c r="F555" s="99" t="s">
        <v>11</v>
      </c>
      <c r="G555" s="121">
        <v>150</v>
      </c>
      <c r="H555" s="122">
        <f t="shared" si="16"/>
        <v>350</v>
      </c>
      <c r="I555" s="520">
        <f>+(290+445)/4</f>
        <v>183.75</v>
      </c>
      <c r="J555" s="514">
        <f t="shared" si="17"/>
        <v>533.75</v>
      </c>
      <c r="K555" s="262"/>
      <c r="L555" s="267"/>
    </row>
    <row r="556" spans="1:36" ht="20.25" customHeight="1" x14ac:dyDescent="0.2">
      <c r="A556" s="114">
        <v>551</v>
      </c>
      <c r="B556" s="1" t="s">
        <v>1184</v>
      </c>
      <c r="C556" s="6" t="s">
        <v>5449</v>
      </c>
      <c r="D556" s="7" t="s">
        <v>1185</v>
      </c>
      <c r="E556" s="2" t="s">
        <v>1181</v>
      </c>
      <c r="F556" s="99" t="s">
        <v>14</v>
      </c>
      <c r="G556" s="121">
        <v>100</v>
      </c>
      <c r="H556" s="122">
        <f t="shared" si="16"/>
        <v>400</v>
      </c>
      <c r="I556" s="520">
        <f>+(290+445)/4</f>
        <v>183.75</v>
      </c>
      <c r="J556" s="514">
        <f t="shared" si="17"/>
        <v>583.75</v>
      </c>
      <c r="K556" s="262"/>
      <c r="L556" s="267"/>
    </row>
    <row r="557" spans="1:36" ht="20.25" customHeight="1" thickBot="1" x14ac:dyDescent="0.25">
      <c r="A557" s="158">
        <v>552</v>
      </c>
      <c r="B557" s="159" t="s">
        <v>1186</v>
      </c>
      <c r="C557" s="160" t="s">
        <v>5450</v>
      </c>
      <c r="D557" s="161" t="s">
        <v>1187</v>
      </c>
      <c r="E557" s="162" t="s">
        <v>1181</v>
      </c>
      <c r="F557" s="163" t="s">
        <v>17</v>
      </c>
      <c r="G557" s="164">
        <v>100</v>
      </c>
      <c r="H557" s="153">
        <f t="shared" si="16"/>
        <v>400</v>
      </c>
      <c r="I557" s="521">
        <f>+(290+445)/4</f>
        <v>183.75</v>
      </c>
      <c r="J557" s="516">
        <f t="shared" si="17"/>
        <v>583.75</v>
      </c>
      <c r="K557" s="277"/>
      <c r="L557" s="364"/>
    </row>
    <row r="558" spans="1:36" ht="20.25" customHeight="1" x14ac:dyDescent="0.2">
      <c r="A558" s="115">
        <v>553</v>
      </c>
      <c r="B558" s="64" t="s">
        <v>1188</v>
      </c>
      <c r="C558" s="65" t="s">
        <v>5451</v>
      </c>
      <c r="D558" s="66" t="s">
        <v>1189</v>
      </c>
      <c r="E558" s="67" t="s">
        <v>1190</v>
      </c>
      <c r="F558" s="98" t="s">
        <v>8</v>
      </c>
      <c r="G558" s="123">
        <v>150</v>
      </c>
      <c r="H558" s="124">
        <f t="shared" si="16"/>
        <v>350</v>
      </c>
      <c r="I558" s="513">
        <f>+(-845+0)/4</f>
        <v>-211.25</v>
      </c>
      <c r="J558" s="517">
        <f t="shared" si="17"/>
        <v>138.75</v>
      </c>
      <c r="K558" s="264"/>
      <c r="L558" s="363"/>
    </row>
    <row r="559" spans="1:36" ht="20.25" customHeight="1" x14ac:dyDescent="0.2">
      <c r="A559" s="114">
        <v>554</v>
      </c>
      <c r="B559" s="1" t="s">
        <v>1191</v>
      </c>
      <c r="C559" s="6" t="s">
        <v>5452</v>
      </c>
      <c r="D559" s="7" t="s">
        <v>1192</v>
      </c>
      <c r="E559" s="2" t="s">
        <v>1190</v>
      </c>
      <c r="F559" s="99" t="s">
        <v>11</v>
      </c>
      <c r="G559" s="121">
        <v>50</v>
      </c>
      <c r="H559" s="122">
        <f t="shared" si="16"/>
        <v>450</v>
      </c>
      <c r="I559" s="520">
        <f>+(-845+0)/4</f>
        <v>-211.25</v>
      </c>
      <c r="J559" s="514">
        <f t="shared" si="17"/>
        <v>238.75</v>
      </c>
      <c r="K559" s="262"/>
      <c r="L559" s="267"/>
    </row>
    <row r="560" spans="1:36" ht="20.25" customHeight="1" x14ac:dyDescent="0.2">
      <c r="A560" s="114">
        <v>555</v>
      </c>
      <c r="B560" s="1" t="s">
        <v>1193</v>
      </c>
      <c r="C560" s="6" t="s">
        <v>5453</v>
      </c>
      <c r="D560" s="7" t="s">
        <v>1194</v>
      </c>
      <c r="E560" s="2" t="s">
        <v>1190</v>
      </c>
      <c r="F560" s="99" t="s">
        <v>14</v>
      </c>
      <c r="G560" s="121">
        <v>100</v>
      </c>
      <c r="H560" s="122">
        <f t="shared" si="16"/>
        <v>400</v>
      </c>
      <c r="I560" s="520">
        <f>+(-845+0)/4</f>
        <v>-211.25</v>
      </c>
      <c r="J560" s="514">
        <f t="shared" si="17"/>
        <v>188.75</v>
      </c>
      <c r="K560" s="262"/>
      <c r="L560" s="267"/>
    </row>
    <row r="561" spans="1:12" ht="20.25" customHeight="1" thickBot="1" x14ac:dyDescent="0.25">
      <c r="A561" s="117">
        <v>556</v>
      </c>
      <c r="B561" s="3" t="s">
        <v>1195</v>
      </c>
      <c r="C561" s="8" t="s">
        <v>5454</v>
      </c>
      <c r="D561" s="9" t="s">
        <v>1196</v>
      </c>
      <c r="E561" s="4" t="s">
        <v>1190</v>
      </c>
      <c r="F561" s="101" t="s">
        <v>17</v>
      </c>
      <c r="G561" s="128">
        <v>150</v>
      </c>
      <c r="H561" s="157">
        <f t="shared" si="16"/>
        <v>350</v>
      </c>
      <c r="I561" s="522">
        <f>+(-845+0)/4</f>
        <v>-211.25</v>
      </c>
      <c r="J561" s="519">
        <f t="shared" si="17"/>
        <v>138.75</v>
      </c>
      <c r="K561" s="268"/>
      <c r="L561" s="269"/>
    </row>
    <row r="562" spans="1:12" ht="20.25" customHeight="1" x14ac:dyDescent="0.2">
      <c r="A562" s="108">
        <v>557</v>
      </c>
      <c r="B562" s="171" t="s">
        <v>1197</v>
      </c>
      <c r="C562" s="110" t="s">
        <v>5455</v>
      </c>
      <c r="D562" s="111" t="s">
        <v>1198</v>
      </c>
      <c r="E562" s="112" t="s">
        <v>1199</v>
      </c>
      <c r="F562" s="113" t="s">
        <v>8</v>
      </c>
      <c r="G562" s="119">
        <v>50</v>
      </c>
      <c r="H562" s="120">
        <f t="shared" si="16"/>
        <v>450</v>
      </c>
      <c r="I562" s="511">
        <f>+(635+525)/4</f>
        <v>290</v>
      </c>
      <c r="J562" s="512">
        <f t="shared" si="17"/>
        <v>740</v>
      </c>
      <c r="K562" s="260"/>
      <c r="L562" s="365"/>
    </row>
    <row r="563" spans="1:12" ht="20.25" customHeight="1" x14ac:dyDescent="0.2">
      <c r="A563" s="114">
        <v>558</v>
      </c>
      <c r="B563" s="1" t="s">
        <v>1200</v>
      </c>
      <c r="C563" s="6" t="s">
        <v>5456</v>
      </c>
      <c r="D563" s="7" t="s">
        <v>1201</v>
      </c>
      <c r="E563" s="2" t="s">
        <v>1199</v>
      </c>
      <c r="F563" s="99" t="s">
        <v>11</v>
      </c>
      <c r="G563" s="121">
        <v>50</v>
      </c>
      <c r="H563" s="122">
        <f t="shared" si="16"/>
        <v>450</v>
      </c>
      <c r="I563" s="520">
        <f>+(635+525)/4</f>
        <v>290</v>
      </c>
      <c r="J563" s="514">
        <f t="shared" si="17"/>
        <v>740</v>
      </c>
      <c r="K563" s="262"/>
      <c r="L563" s="267"/>
    </row>
    <row r="564" spans="1:12" ht="20.25" customHeight="1" x14ac:dyDescent="0.2">
      <c r="A564" s="114">
        <v>559</v>
      </c>
      <c r="B564" s="1" t="s">
        <v>1202</v>
      </c>
      <c r="C564" s="6" t="s">
        <v>5457</v>
      </c>
      <c r="D564" s="7" t="s">
        <v>1203</v>
      </c>
      <c r="E564" s="2" t="s">
        <v>1199</v>
      </c>
      <c r="F564" s="99" t="s">
        <v>14</v>
      </c>
      <c r="G564" s="121">
        <v>50</v>
      </c>
      <c r="H564" s="122">
        <f t="shared" si="16"/>
        <v>450</v>
      </c>
      <c r="I564" s="520">
        <f>+(635+525)/4</f>
        <v>290</v>
      </c>
      <c r="J564" s="514">
        <f t="shared" si="17"/>
        <v>740</v>
      </c>
      <c r="K564" s="262"/>
      <c r="L564" s="267"/>
    </row>
    <row r="565" spans="1:12" ht="20.25" customHeight="1" thickBot="1" x14ac:dyDescent="0.25">
      <c r="A565" s="158">
        <v>560</v>
      </c>
      <c r="B565" s="159" t="s">
        <v>1204</v>
      </c>
      <c r="C565" s="160" t="s">
        <v>5458</v>
      </c>
      <c r="D565" s="161" t="s">
        <v>1205</v>
      </c>
      <c r="E565" s="162" t="s">
        <v>1199</v>
      </c>
      <c r="F565" s="163" t="s">
        <v>17</v>
      </c>
      <c r="G565" s="164">
        <v>50</v>
      </c>
      <c r="H565" s="153">
        <f t="shared" si="16"/>
        <v>450</v>
      </c>
      <c r="I565" s="521">
        <f>+(635+525)/4</f>
        <v>290</v>
      </c>
      <c r="J565" s="516">
        <f t="shared" si="17"/>
        <v>740</v>
      </c>
      <c r="K565" s="277"/>
      <c r="L565" s="364"/>
    </row>
    <row r="566" spans="1:12" ht="20.25" customHeight="1" x14ac:dyDescent="0.2">
      <c r="A566" s="115">
        <v>561</v>
      </c>
      <c r="B566" s="64" t="s">
        <v>1206</v>
      </c>
      <c r="C566" s="65" t="s">
        <v>5056</v>
      </c>
      <c r="D566" s="66" t="s">
        <v>1207</v>
      </c>
      <c r="E566" s="67" t="s">
        <v>1208</v>
      </c>
      <c r="F566" s="98" t="s">
        <v>8</v>
      </c>
      <c r="G566" s="123">
        <v>50</v>
      </c>
      <c r="H566" s="124">
        <f t="shared" si="16"/>
        <v>450</v>
      </c>
      <c r="I566" s="513">
        <f>+(170+0)/4</f>
        <v>42.5</v>
      </c>
      <c r="J566" s="517">
        <f t="shared" si="17"/>
        <v>492.5</v>
      </c>
      <c r="K566" s="264"/>
      <c r="L566" s="363"/>
    </row>
    <row r="567" spans="1:12" ht="20.25" customHeight="1" x14ac:dyDescent="0.2">
      <c r="A567" s="114">
        <v>562</v>
      </c>
      <c r="B567" s="1" t="s">
        <v>1209</v>
      </c>
      <c r="C567" s="6" t="s">
        <v>5216</v>
      </c>
      <c r="D567" s="7" t="s">
        <v>1210</v>
      </c>
      <c r="E567" s="2" t="s">
        <v>1208</v>
      </c>
      <c r="F567" s="99" t="s">
        <v>11</v>
      </c>
      <c r="G567" s="121">
        <v>100</v>
      </c>
      <c r="H567" s="122">
        <f t="shared" si="16"/>
        <v>400</v>
      </c>
      <c r="I567" s="520">
        <f>+(170+0)/4</f>
        <v>42.5</v>
      </c>
      <c r="J567" s="514">
        <f t="shared" si="17"/>
        <v>442.5</v>
      </c>
      <c r="K567" s="262"/>
      <c r="L567" s="267"/>
    </row>
    <row r="568" spans="1:12" ht="20.25" customHeight="1" x14ac:dyDescent="0.2">
      <c r="A568" s="114">
        <v>563</v>
      </c>
      <c r="B568" s="1" t="s">
        <v>1211</v>
      </c>
      <c r="C568" s="6" t="s">
        <v>5459</v>
      </c>
      <c r="D568" s="7" t="s">
        <v>1212</v>
      </c>
      <c r="E568" s="2" t="s">
        <v>1208</v>
      </c>
      <c r="F568" s="99" t="s">
        <v>14</v>
      </c>
      <c r="G568" s="121">
        <v>50</v>
      </c>
      <c r="H568" s="122">
        <f t="shared" si="16"/>
        <v>450</v>
      </c>
      <c r="I568" s="520">
        <f>+(170+0)/4</f>
        <v>42.5</v>
      </c>
      <c r="J568" s="514">
        <f t="shared" si="17"/>
        <v>492.5</v>
      </c>
      <c r="K568" s="262"/>
      <c r="L568" s="267"/>
    </row>
    <row r="569" spans="1:12" ht="20.25" customHeight="1" thickBot="1" x14ac:dyDescent="0.25">
      <c r="A569" s="117">
        <v>564</v>
      </c>
      <c r="B569" s="3" t="s">
        <v>1213</v>
      </c>
      <c r="C569" s="8" t="s">
        <v>5460</v>
      </c>
      <c r="D569" s="9" t="s">
        <v>1214</v>
      </c>
      <c r="E569" s="4" t="s">
        <v>1208</v>
      </c>
      <c r="F569" s="101" t="s">
        <v>17</v>
      </c>
      <c r="G569" s="128">
        <v>50</v>
      </c>
      <c r="H569" s="157">
        <f t="shared" si="16"/>
        <v>450</v>
      </c>
      <c r="I569" s="522">
        <f>+(170+0)/4</f>
        <v>42.5</v>
      </c>
      <c r="J569" s="519">
        <f t="shared" si="17"/>
        <v>492.5</v>
      </c>
      <c r="K569" s="268"/>
      <c r="L569" s="269"/>
    </row>
    <row r="570" spans="1:12" ht="20.25" customHeight="1" x14ac:dyDescent="0.2">
      <c r="A570" s="108">
        <v>565</v>
      </c>
      <c r="B570" s="171" t="s">
        <v>1215</v>
      </c>
      <c r="C570" s="110" t="s">
        <v>5064</v>
      </c>
      <c r="D570" s="111" t="s">
        <v>1216</v>
      </c>
      <c r="E570" s="112" t="s">
        <v>1217</v>
      </c>
      <c r="F570" s="113" t="s">
        <v>8</v>
      </c>
      <c r="G570" s="119">
        <v>50</v>
      </c>
      <c r="H570" s="120">
        <f t="shared" si="16"/>
        <v>450</v>
      </c>
      <c r="I570" s="511">
        <f>+(815+785)/4</f>
        <v>400</v>
      </c>
      <c r="J570" s="512">
        <f t="shared" si="17"/>
        <v>850</v>
      </c>
      <c r="K570" s="260"/>
      <c r="L570" s="365"/>
    </row>
    <row r="571" spans="1:12" ht="20.25" customHeight="1" x14ac:dyDescent="0.2">
      <c r="A571" s="114">
        <v>566</v>
      </c>
      <c r="B571" s="1" t="s">
        <v>1218</v>
      </c>
      <c r="C571" s="6" t="s">
        <v>5461</v>
      </c>
      <c r="D571" s="7" t="s">
        <v>1219</v>
      </c>
      <c r="E571" s="2" t="s">
        <v>1217</v>
      </c>
      <c r="F571" s="99" t="s">
        <v>11</v>
      </c>
      <c r="G571" s="121">
        <v>50</v>
      </c>
      <c r="H571" s="122">
        <f t="shared" si="16"/>
        <v>450</v>
      </c>
      <c r="I571" s="520">
        <f>+(815+785)/4</f>
        <v>400</v>
      </c>
      <c r="J571" s="514">
        <f t="shared" si="17"/>
        <v>850</v>
      </c>
      <c r="K571" s="262"/>
      <c r="L571" s="267"/>
    </row>
    <row r="572" spans="1:12" ht="20.25" customHeight="1" x14ac:dyDescent="0.2">
      <c r="A572" s="114">
        <v>567</v>
      </c>
      <c r="B572" s="1" t="s">
        <v>1220</v>
      </c>
      <c r="C572" s="6" t="s">
        <v>5368</v>
      </c>
      <c r="D572" s="7" t="s">
        <v>1221</v>
      </c>
      <c r="E572" s="2" t="s">
        <v>1217</v>
      </c>
      <c r="F572" s="99" t="s">
        <v>14</v>
      </c>
      <c r="G572" s="121">
        <v>100</v>
      </c>
      <c r="H572" s="122">
        <f t="shared" si="16"/>
        <v>400</v>
      </c>
      <c r="I572" s="520">
        <f>+(815+785)/4</f>
        <v>400</v>
      </c>
      <c r="J572" s="514">
        <f t="shared" si="17"/>
        <v>800</v>
      </c>
      <c r="K572" s="262"/>
      <c r="L572" s="267"/>
    </row>
    <row r="573" spans="1:12" ht="20.25" customHeight="1" thickBot="1" x14ac:dyDescent="0.25">
      <c r="A573" s="158">
        <v>568</v>
      </c>
      <c r="B573" s="159" t="s">
        <v>1222</v>
      </c>
      <c r="C573" s="160" t="s">
        <v>5453</v>
      </c>
      <c r="D573" s="161" t="s">
        <v>1223</v>
      </c>
      <c r="E573" s="162" t="s">
        <v>1217</v>
      </c>
      <c r="F573" s="163" t="s">
        <v>17</v>
      </c>
      <c r="G573" s="164">
        <v>50</v>
      </c>
      <c r="H573" s="153">
        <f t="shared" si="16"/>
        <v>450</v>
      </c>
      <c r="I573" s="521">
        <f>+(815+785)/4</f>
        <v>400</v>
      </c>
      <c r="J573" s="516">
        <f t="shared" si="17"/>
        <v>850</v>
      </c>
      <c r="K573" s="277"/>
      <c r="L573" s="364"/>
    </row>
    <row r="574" spans="1:12" ht="20.25" customHeight="1" x14ac:dyDescent="0.2">
      <c r="A574" s="115">
        <v>569</v>
      </c>
      <c r="B574" s="64" t="s">
        <v>1224</v>
      </c>
      <c r="C574" s="65" t="s">
        <v>5094</v>
      </c>
      <c r="D574" s="66" t="s">
        <v>1225</v>
      </c>
      <c r="E574" s="67" t="s">
        <v>1226</v>
      </c>
      <c r="F574" s="98" t="s">
        <v>8</v>
      </c>
      <c r="G574" s="123">
        <v>50</v>
      </c>
      <c r="H574" s="124">
        <f t="shared" si="16"/>
        <v>450</v>
      </c>
      <c r="I574" s="513">
        <f>+(265+945)/4</f>
        <v>302.5</v>
      </c>
      <c r="J574" s="517">
        <f t="shared" si="17"/>
        <v>752.5</v>
      </c>
      <c r="K574" s="264"/>
      <c r="L574" s="363"/>
    </row>
    <row r="575" spans="1:12" ht="20.25" customHeight="1" x14ac:dyDescent="0.2">
      <c r="A575" s="114">
        <v>570</v>
      </c>
      <c r="B575" s="1" t="s">
        <v>1227</v>
      </c>
      <c r="C575" s="6" t="s">
        <v>5193</v>
      </c>
      <c r="D575" s="7" t="s">
        <v>1228</v>
      </c>
      <c r="E575" s="2" t="s">
        <v>1226</v>
      </c>
      <c r="F575" s="99" t="s">
        <v>11</v>
      </c>
      <c r="G575" s="121">
        <v>50</v>
      </c>
      <c r="H575" s="122">
        <f t="shared" si="16"/>
        <v>450</v>
      </c>
      <c r="I575" s="520">
        <f>+(265+945)/4</f>
        <v>302.5</v>
      </c>
      <c r="J575" s="514">
        <f t="shared" si="17"/>
        <v>752.5</v>
      </c>
      <c r="K575" s="262"/>
      <c r="L575" s="267"/>
    </row>
    <row r="576" spans="1:12" ht="20.25" customHeight="1" x14ac:dyDescent="0.2">
      <c r="A576" s="114">
        <v>571</v>
      </c>
      <c r="B576" s="1" t="s">
        <v>1229</v>
      </c>
      <c r="C576" s="6" t="s">
        <v>5462</v>
      </c>
      <c r="D576" s="7" t="s">
        <v>1230</v>
      </c>
      <c r="E576" s="2" t="s">
        <v>1226</v>
      </c>
      <c r="F576" s="99" t="s">
        <v>14</v>
      </c>
      <c r="G576" s="121">
        <v>50</v>
      </c>
      <c r="H576" s="122">
        <f t="shared" si="16"/>
        <v>450</v>
      </c>
      <c r="I576" s="520">
        <f>+(265+945)/4</f>
        <v>302.5</v>
      </c>
      <c r="J576" s="514">
        <f t="shared" si="17"/>
        <v>752.5</v>
      </c>
      <c r="K576" s="262"/>
      <c r="L576" s="267"/>
    </row>
    <row r="577" spans="1:12" ht="20.25" customHeight="1" thickBot="1" x14ac:dyDescent="0.25">
      <c r="A577" s="117">
        <v>572</v>
      </c>
      <c r="B577" s="3" t="s">
        <v>1231</v>
      </c>
      <c r="C577" s="8" t="s">
        <v>5229</v>
      </c>
      <c r="D577" s="9" t="s">
        <v>1232</v>
      </c>
      <c r="E577" s="4" t="s">
        <v>1226</v>
      </c>
      <c r="F577" s="101" t="s">
        <v>17</v>
      </c>
      <c r="G577" s="128">
        <v>50</v>
      </c>
      <c r="H577" s="157">
        <f t="shared" si="16"/>
        <v>450</v>
      </c>
      <c r="I577" s="522">
        <f>+(265+945)/4</f>
        <v>302.5</v>
      </c>
      <c r="J577" s="519">
        <f t="shared" si="17"/>
        <v>752.5</v>
      </c>
      <c r="K577" s="268"/>
      <c r="L577" s="269"/>
    </row>
    <row r="578" spans="1:12" ht="20.25" customHeight="1" x14ac:dyDescent="0.2">
      <c r="A578" s="108">
        <v>573</v>
      </c>
      <c r="B578" s="171" t="s">
        <v>1233</v>
      </c>
      <c r="C578" s="110" t="s">
        <v>5463</v>
      </c>
      <c r="D578" s="111" t="s">
        <v>1234</v>
      </c>
      <c r="E578" s="112" t="s">
        <v>1235</v>
      </c>
      <c r="F578" s="113" t="s">
        <v>8</v>
      </c>
      <c r="G578" s="119">
        <v>50</v>
      </c>
      <c r="H578" s="120">
        <f t="shared" si="16"/>
        <v>450</v>
      </c>
      <c r="I578" s="511">
        <f>+(910+1010)/4</f>
        <v>480</v>
      </c>
      <c r="J578" s="512">
        <f t="shared" si="17"/>
        <v>930</v>
      </c>
      <c r="K578" s="260"/>
      <c r="L578" s="365"/>
    </row>
    <row r="579" spans="1:12" ht="20.25" customHeight="1" x14ac:dyDescent="0.2">
      <c r="A579" s="114">
        <v>574</v>
      </c>
      <c r="B579" s="1" t="s">
        <v>1236</v>
      </c>
      <c r="C579" s="6" t="s">
        <v>5464</v>
      </c>
      <c r="D579" s="7" t="s">
        <v>1237</v>
      </c>
      <c r="E579" s="2" t="s">
        <v>1235</v>
      </c>
      <c r="F579" s="99" t="s">
        <v>11</v>
      </c>
      <c r="G579" s="121">
        <v>50</v>
      </c>
      <c r="H579" s="122">
        <f t="shared" si="16"/>
        <v>450</v>
      </c>
      <c r="I579" s="520">
        <f>+(910+1010)/4</f>
        <v>480</v>
      </c>
      <c r="J579" s="514">
        <f t="shared" si="17"/>
        <v>930</v>
      </c>
      <c r="K579" s="262"/>
      <c r="L579" s="267"/>
    </row>
    <row r="580" spans="1:12" ht="20.25" customHeight="1" x14ac:dyDescent="0.2">
      <c r="A580" s="114">
        <v>575</v>
      </c>
      <c r="B580" s="1" t="s">
        <v>1238</v>
      </c>
      <c r="C580" s="6" t="s">
        <v>5076</v>
      </c>
      <c r="D580" s="7" t="s">
        <v>1239</v>
      </c>
      <c r="E580" s="2" t="s">
        <v>1235</v>
      </c>
      <c r="F580" s="99" t="s">
        <v>14</v>
      </c>
      <c r="G580" s="121">
        <v>100</v>
      </c>
      <c r="H580" s="122">
        <f t="shared" si="16"/>
        <v>400</v>
      </c>
      <c r="I580" s="520">
        <f>+(910+1010)/4</f>
        <v>480</v>
      </c>
      <c r="J580" s="514">
        <f t="shared" si="17"/>
        <v>880</v>
      </c>
      <c r="K580" s="262"/>
      <c r="L580" s="267"/>
    </row>
    <row r="581" spans="1:12" ht="20.25" customHeight="1" thickBot="1" x14ac:dyDescent="0.25">
      <c r="A581" s="158">
        <v>576</v>
      </c>
      <c r="B581" s="159" t="s">
        <v>1240</v>
      </c>
      <c r="C581" s="160" t="s">
        <v>5465</v>
      </c>
      <c r="D581" s="161" t="s">
        <v>1241</v>
      </c>
      <c r="E581" s="162" t="s">
        <v>1235</v>
      </c>
      <c r="F581" s="163" t="s">
        <v>17</v>
      </c>
      <c r="G581" s="164">
        <v>100</v>
      </c>
      <c r="H581" s="153">
        <f t="shared" si="16"/>
        <v>400</v>
      </c>
      <c r="I581" s="521">
        <f>+(910+1010)/4</f>
        <v>480</v>
      </c>
      <c r="J581" s="516">
        <f t="shared" si="17"/>
        <v>880</v>
      </c>
      <c r="K581" s="277"/>
      <c r="L581" s="364"/>
    </row>
    <row r="582" spans="1:12" ht="20.25" customHeight="1" x14ac:dyDescent="0.2">
      <c r="A582" s="115">
        <v>577</v>
      </c>
      <c r="B582" s="64" t="s">
        <v>1242</v>
      </c>
      <c r="C582" s="65" t="s">
        <v>5466</v>
      </c>
      <c r="D582" s="66" t="s">
        <v>1243</v>
      </c>
      <c r="E582" s="67" t="s">
        <v>1244</v>
      </c>
      <c r="F582" s="98" t="s">
        <v>8</v>
      </c>
      <c r="G582" s="123">
        <v>50</v>
      </c>
      <c r="H582" s="124">
        <f t="shared" si="16"/>
        <v>450</v>
      </c>
      <c r="I582" s="513">
        <f>+(0+735)/4</f>
        <v>183.75</v>
      </c>
      <c r="J582" s="517">
        <f t="shared" si="17"/>
        <v>633.75</v>
      </c>
      <c r="K582" s="264"/>
      <c r="L582" s="363"/>
    </row>
    <row r="583" spans="1:12" ht="20.25" customHeight="1" x14ac:dyDescent="0.2">
      <c r="A583" s="114">
        <v>578</v>
      </c>
      <c r="B583" s="1" t="s">
        <v>1245</v>
      </c>
      <c r="C583" s="6" t="s">
        <v>5467</v>
      </c>
      <c r="D583" s="7" t="s">
        <v>1246</v>
      </c>
      <c r="E583" s="2" t="s">
        <v>1244</v>
      </c>
      <c r="F583" s="99" t="s">
        <v>11</v>
      </c>
      <c r="G583" s="121">
        <v>100</v>
      </c>
      <c r="H583" s="122">
        <f t="shared" ref="H583:H646" si="18">500-G583</f>
        <v>400</v>
      </c>
      <c r="I583" s="520">
        <f>+(0+735)/4</f>
        <v>183.75</v>
      </c>
      <c r="J583" s="514">
        <f t="shared" si="17"/>
        <v>583.75</v>
      </c>
      <c r="K583" s="262"/>
      <c r="L583" s="267"/>
    </row>
    <row r="584" spans="1:12" ht="20.25" customHeight="1" x14ac:dyDescent="0.2">
      <c r="A584" s="114">
        <v>579</v>
      </c>
      <c r="B584" s="1" t="s">
        <v>1247</v>
      </c>
      <c r="C584" s="6" t="s">
        <v>5468</v>
      </c>
      <c r="D584" s="7" t="s">
        <v>1248</v>
      </c>
      <c r="E584" s="2" t="s">
        <v>1244</v>
      </c>
      <c r="F584" s="99" t="s">
        <v>14</v>
      </c>
      <c r="G584" s="121">
        <v>50</v>
      </c>
      <c r="H584" s="122">
        <f t="shared" si="18"/>
        <v>450</v>
      </c>
      <c r="I584" s="520">
        <f>+(0+735)/4</f>
        <v>183.75</v>
      </c>
      <c r="J584" s="514">
        <f t="shared" ref="J584:J647" si="19">SUM(H584:I584)</f>
        <v>633.75</v>
      </c>
      <c r="K584" s="262"/>
      <c r="L584" s="267"/>
    </row>
    <row r="585" spans="1:12" ht="20.25" customHeight="1" thickBot="1" x14ac:dyDescent="0.25">
      <c r="A585" s="117">
        <v>580</v>
      </c>
      <c r="B585" s="3" t="s">
        <v>1249</v>
      </c>
      <c r="C585" s="8" t="s">
        <v>5469</v>
      </c>
      <c r="D585" s="9" t="s">
        <v>1250</v>
      </c>
      <c r="E585" s="4" t="s">
        <v>1244</v>
      </c>
      <c r="F585" s="101" t="s">
        <v>17</v>
      </c>
      <c r="G585" s="128">
        <v>100</v>
      </c>
      <c r="H585" s="157">
        <f t="shared" si="18"/>
        <v>400</v>
      </c>
      <c r="I585" s="522">
        <f>+(0+735)/4</f>
        <v>183.75</v>
      </c>
      <c r="J585" s="519">
        <f t="shared" si="19"/>
        <v>583.75</v>
      </c>
      <c r="K585" s="268"/>
      <c r="L585" s="269"/>
    </row>
    <row r="586" spans="1:12" ht="20.25" customHeight="1" x14ac:dyDescent="0.2">
      <c r="A586" s="108">
        <v>581</v>
      </c>
      <c r="B586" s="174" t="s">
        <v>4956</v>
      </c>
      <c r="C586" s="175" t="s">
        <v>5470</v>
      </c>
      <c r="D586" s="176" t="s">
        <v>4955</v>
      </c>
      <c r="E586" s="177" t="s">
        <v>1253</v>
      </c>
      <c r="F586" s="178">
        <v>1</v>
      </c>
      <c r="G586" s="179">
        <v>50</v>
      </c>
      <c r="H586" s="120">
        <f t="shared" si="18"/>
        <v>450</v>
      </c>
      <c r="I586" s="511">
        <f>+(405+495)/4</f>
        <v>225</v>
      </c>
      <c r="J586" s="512">
        <f t="shared" si="19"/>
        <v>675</v>
      </c>
      <c r="K586" s="260"/>
      <c r="L586" s="365"/>
    </row>
    <row r="587" spans="1:12" ht="20.25" customHeight="1" x14ac:dyDescent="0.2">
      <c r="A587" s="114">
        <v>582</v>
      </c>
      <c r="B587" s="47" t="s">
        <v>1251</v>
      </c>
      <c r="C587" s="10" t="s">
        <v>5471</v>
      </c>
      <c r="D587" s="11" t="s">
        <v>1252</v>
      </c>
      <c r="E587" s="5" t="s">
        <v>1253</v>
      </c>
      <c r="F587" s="100" t="s">
        <v>11</v>
      </c>
      <c r="G587" s="125">
        <v>50</v>
      </c>
      <c r="H587" s="122">
        <f t="shared" si="18"/>
        <v>450</v>
      </c>
      <c r="I587" s="520">
        <f>+(405+495)/4</f>
        <v>225</v>
      </c>
      <c r="J587" s="514">
        <f t="shared" si="19"/>
        <v>675</v>
      </c>
      <c r="K587" s="262"/>
      <c r="L587" s="267"/>
    </row>
    <row r="588" spans="1:12" ht="20.25" customHeight="1" x14ac:dyDescent="0.2">
      <c r="A588" s="114">
        <v>583</v>
      </c>
      <c r="B588" s="47" t="s">
        <v>1254</v>
      </c>
      <c r="C588" s="10" t="s">
        <v>5472</v>
      </c>
      <c r="D588" s="11" t="s">
        <v>1255</v>
      </c>
      <c r="E588" s="5" t="s">
        <v>1253</v>
      </c>
      <c r="F588" s="100" t="s">
        <v>14</v>
      </c>
      <c r="G588" s="125">
        <v>50</v>
      </c>
      <c r="H588" s="122">
        <f t="shared" si="18"/>
        <v>450</v>
      </c>
      <c r="I588" s="520">
        <f>+(405+495)/4</f>
        <v>225</v>
      </c>
      <c r="J588" s="514">
        <f t="shared" si="19"/>
        <v>675</v>
      </c>
      <c r="K588" s="262"/>
      <c r="L588" s="267"/>
    </row>
    <row r="589" spans="1:12" ht="20.25" customHeight="1" thickBot="1" x14ac:dyDescent="0.25">
      <c r="A589" s="158">
        <v>584</v>
      </c>
      <c r="B589" s="192" t="s">
        <v>1256</v>
      </c>
      <c r="C589" s="193" t="s">
        <v>5473</v>
      </c>
      <c r="D589" s="194" t="s">
        <v>1257</v>
      </c>
      <c r="E589" s="195" t="s">
        <v>1253</v>
      </c>
      <c r="F589" s="196" t="s">
        <v>17</v>
      </c>
      <c r="G589" s="197">
        <v>50</v>
      </c>
      <c r="H589" s="153">
        <f t="shared" si="18"/>
        <v>450</v>
      </c>
      <c r="I589" s="521">
        <f>+(405+495)/4</f>
        <v>225</v>
      </c>
      <c r="J589" s="516">
        <f t="shared" si="19"/>
        <v>675</v>
      </c>
      <c r="K589" s="277"/>
      <c r="L589" s="364"/>
    </row>
    <row r="590" spans="1:12" ht="20.25" customHeight="1" x14ac:dyDescent="0.2">
      <c r="A590" s="115">
        <v>585</v>
      </c>
      <c r="B590" s="64" t="s">
        <v>1258</v>
      </c>
      <c r="C590" s="65" t="s">
        <v>5262</v>
      </c>
      <c r="D590" s="66" t="s">
        <v>1259</v>
      </c>
      <c r="E590" s="67" t="s">
        <v>1260</v>
      </c>
      <c r="F590" s="98" t="s">
        <v>8</v>
      </c>
      <c r="G590" s="123">
        <v>100</v>
      </c>
      <c r="H590" s="124">
        <f t="shared" si="18"/>
        <v>400</v>
      </c>
      <c r="I590" s="513">
        <f>+(105+245)/4</f>
        <v>87.5</v>
      </c>
      <c r="J590" s="517">
        <f t="shared" si="19"/>
        <v>487.5</v>
      </c>
      <c r="K590" s="264"/>
      <c r="L590" s="363"/>
    </row>
    <row r="591" spans="1:12" ht="20.25" customHeight="1" x14ac:dyDescent="0.2">
      <c r="A591" s="114">
        <v>586</v>
      </c>
      <c r="B591" s="1" t="s">
        <v>1261</v>
      </c>
      <c r="C591" s="6" t="s">
        <v>5474</v>
      </c>
      <c r="D591" s="7" t="s">
        <v>226</v>
      </c>
      <c r="E591" s="2" t="s">
        <v>1260</v>
      </c>
      <c r="F591" s="99" t="s">
        <v>11</v>
      </c>
      <c r="G591" s="121">
        <v>50</v>
      </c>
      <c r="H591" s="122">
        <f t="shared" si="18"/>
        <v>450</v>
      </c>
      <c r="I591" s="520">
        <f>+(105+245)/4</f>
        <v>87.5</v>
      </c>
      <c r="J591" s="514">
        <f t="shared" si="19"/>
        <v>537.5</v>
      </c>
      <c r="K591" s="262"/>
      <c r="L591" s="267"/>
    </row>
    <row r="592" spans="1:12" ht="20.25" customHeight="1" x14ac:dyDescent="0.2">
      <c r="A592" s="114">
        <v>587</v>
      </c>
      <c r="B592" s="1" t="s">
        <v>1262</v>
      </c>
      <c r="C592" s="6" t="s">
        <v>5187</v>
      </c>
      <c r="D592" s="7" t="s">
        <v>1263</v>
      </c>
      <c r="E592" s="2" t="s">
        <v>1260</v>
      </c>
      <c r="F592" s="99" t="s">
        <v>14</v>
      </c>
      <c r="G592" s="121">
        <v>50</v>
      </c>
      <c r="H592" s="122">
        <f t="shared" si="18"/>
        <v>450</v>
      </c>
      <c r="I592" s="520">
        <f>+(105+245)/4</f>
        <v>87.5</v>
      </c>
      <c r="J592" s="514">
        <f t="shared" si="19"/>
        <v>537.5</v>
      </c>
      <c r="K592" s="262"/>
      <c r="L592" s="267"/>
    </row>
    <row r="593" spans="1:12" ht="20.25" customHeight="1" thickBot="1" x14ac:dyDescent="0.25">
      <c r="A593" s="117">
        <v>588</v>
      </c>
      <c r="B593" s="3" t="s">
        <v>1264</v>
      </c>
      <c r="C593" s="8" t="s">
        <v>5475</v>
      </c>
      <c r="D593" s="9" t="s">
        <v>1265</v>
      </c>
      <c r="E593" s="4" t="s">
        <v>1260</v>
      </c>
      <c r="F593" s="101" t="s">
        <v>17</v>
      </c>
      <c r="G593" s="128">
        <v>50</v>
      </c>
      <c r="H593" s="157">
        <f t="shared" si="18"/>
        <v>450</v>
      </c>
      <c r="I593" s="522">
        <f>+(105+245)/4</f>
        <v>87.5</v>
      </c>
      <c r="J593" s="519">
        <f t="shared" si="19"/>
        <v>537.5</v>
      </c>
      <c r="K593" s="268"/>
      <c r="L593" s="269"/>
    </row>
    <row r="594" spans="1:12" ht="20.25" customHeight="1" x14ac:dyDescent="0.2">
      <c r="A594" s="108">
        <v>589</v>
      </c>
      <c r="B594" s="171" t="s">
        <v>1266</v>
      </c>
      <c r="C594" s="110" t="s">
        <v>5328</v>
      </c>
      <c r="D594" s="111" t="s">
        <v>1267</v>
      </c>
      <c r="E594" s="112" t="s">
        <v>1268</v>
      </c>
      <c r="F594" s="113" t="s">
        <v>8</v>
      </c>
      <c r="G594" s="119">
        <v>100</v>
      </c>
      <c r="H594" s="120">
        <f t="shared" si="18"/>
        <v>400</v>
      </c>
      <c r="I594" s="511">
        <f>+(700+1345)/4</f>
        <v>511.25</v>
      </c>
      <c r="J594" s="512">
        <f t="shared" si="19"/>
        <v>911.25</v>
      </c>
      <c r="K594" s="260"/>
      <c r="L594" s="365"/>
    </row>
    <row r="595" spans="1:12" ht="20.25" customHeight="1" x14ac:dyDescent="0.2">
      <c r="A595" s="114">
        <v>590</v>
      </c>
      <c r="B595" s="1" t="s">
        <v>1269</v>
      </c>
      <c r="C595" s="6" t="s">
        <v>5476</v>
      </c>
      <c r="D595" s="7" t="s">
        <v>1270</v>
      </c>
      <c r="E595" s="2" t="s">
        <v>1268</v>
      </c>
      <c r="F595" s="99" t="s">
        <v>11</v>
      </c>
      <c r="G595" s="121">
        <v>100</v>
      </c>
      <c r="H595" s="122">
        <f t="shared" si="18"/>
        <v>400</v>
      </c>
      <c r="I595" s="520">
        <f>+(700+1345)/4</f>
        <v>511.25</v>
      </c>
      <c r="J595" s="514">
        <f t="shared" si="19"/>
        <v>911.25</v>
      </c>
      <c r="K595" s="262"/>
      <c r="L595" s="267"/>
    </row>
    <row r="596" spans="1:12" ht="20.25" customHeight="1" x14ac:dyDescent="0.2">
      <c r="A596" s="114">
        <v>591</v>
      </c>
      <c r="B596" s="1" t="s">
        <v>1271</v>
      </c>
      <c r="C596" s="6" t="s">
        <v>5363</v>
      </c>
      <c r="D596" s="7" t="s">
        <v>1272</v>
      </c>
      <c r="E596" s="2" t="s">
        <v>1268</v>
      </c>
      <c r="F596" s="99" t="s">
        <v>14</v>
      </c>
      <c r="G596" s="121">
        <v>50</v>
      </c>
      <c r="H596" s="122">
        <f t="shared" si="18"/>
        <v>450</v>
      </c>
      <c r="I596" s="520">
        <f>+(700+1345)/4</f>
        <v>511.25</v>
      </c>
      <c r="J596" s="514">
        <f t="shared" si="19"/>
        <v>961.25</v>
      </c>
      <c r="K596" s="262"/>
      <c r="L596" s="267"/>
    </row>
    <row r="597" spans="1:12" ht="20.25" customHeight="1" thickBot="1" x14ac:dyDescent="0.25">
      <c r="A597" s="158">
        <v>592</v>
      </c>
      <c r="B597" s="159" t="s">
        <v>1273</v>
      </c>
      <c r="C597" s="160" t="s">
        <v>5097</v>
      </c>
      <c r="D597" s="161" t="s">
        <v>1274</v>
      </c>
      <c r="E597" s="162" t="s">
        <v>1268</v>
      </c>
      <c r="F597" s="163" t="s">
        <v>17</v>
      </c>
      <c r="G597" s="164">
        <v>100</v>
      </c>
      <c r="H597" s="153">
        <f t="shared" si="18"/>
        <v>400</v>
      </c>
      <c r="I597" s="521">
        <f>+(700+1345)/4</f>
        <v>511.25</v>
      </c>
      <c r="J597" s="516">
        <f t="shared" si="19"/>
        <v>911.25</v>
      </c>
      <c r="K597" s="277"/>
      <c r="L597" s="364"/>
    </row>
    <row r="598" spans="1:12" ht="20.25" customHeight="1" x14ac:dyDescent="0.2">
      <c r="A598" s="115">
        <v>593</v>
      </c>
      <c r="B598" s="64" t="s">
        <v>1275</v>
      </c>
      <c r="C598" s="65" t="s">
        <v>5477</v>
      </c>
      <c r="D598" s="66" t="s">
        <v>1276</v>
      </c>
      <c r="E598" s="67" t="s">
        <v>1277</v>
      </c>
      <c r="F598" s="98" t="s">
        <v>8</v>
      </c>
      <c r="G598" s="123">
        <v>100</v>
      </c>
      <c r="H598" s="124">
        <f t="shared" si="18"/>
        <v>400</v>
      </c>
      <c r="I598" s="513">
        <f>+(630+905)/4</f>
        <v>383.75</v>
      </c>
      <c r="J598" s="517">
        <f t="shared" si="19"/>
        <v>783.75</v>
      </c>
      <c r="K598" s="264"/>
      <c r="L598" s="363"/>
    </row>
    <row r="599" spans="1:12" ht="20.25" customHeight="1" x14ac:dyDescent="0.2">
      <c r="A599" s="114">
        <v>594</v>
      </c>
      <c r="B599" s="1" t="s">
        <v>1278</v>
      </c>
      <c r="C599" s="6" t="s">
        <v>5478</v>
      </c>
      <c r="D599" s="7" t="s">
        <v>1279</v>
      </c>
      <c r="E599" s="2" t="s">
        <v>1277</v>
      </c>
      <c r="F599" s="99" t="s">
        <v>11</v>
      </c>
      <c r="G599" s="121">
        <v>50</v>
      </c>
      <c r="H599" s="122">
        <f t="shared" si="18"/>
        <v>450</v>
      </c>
      <c r="I599" s="520">
        <f>+(630+905)/4</f>
        <v>383.75</v>
      </c>
      <c r="J599" s="514">
        <f t="shared" si="19"/>
        <v>833.75</v>
      </c>
      <c r="K599" s="262"/>
      <c r="L599" s="267"/>
    </row>
    <row r="600" spans="1:12" ht="20.25" customHeight="1" x14ac:dyDescent="0.2">
      <c r="A600" s="114">
        <v>595</v>
      </c>
      <c r="B600" s="1" t="s">
        <v>1280</v>
      </c>
      <c r="C600" s="6" t="s">
        <v>5479</v>
      </c>
      <c r="D600" s="7" t="s">
        <v>1281</v>
      </c>
      <c r="E600" s="2" t="s">
        <v>1277</v>
      </c>
      <c r="F600" s="99" t="s">
        <v>14</v>
      </c>
      <c r="G600" s="121">
        <v>50</v>
      </c>
      <c r="H600" s="122">
        <f t="shared" si="18"/>
        <v>450</v>
      </c>
      <c r="I600" s="520">
        <f>+(630+905)/4</f>
        <v>383.75</v>
      </c>
      <c r="J600" s="514">
        <f t="shared" si="19"/>
        <v>833.75</v>
      </c>
      <c r="K600" s="262"/>
      <c r="L600" s="267"/>
    </row>
    <row r="601" spans="1:12" ht="20.25" customHeight="1" thickBot="1" x14ac:dyDescent="0.25">
      <c r="A601" s="117">
        <v>596</v>
      </c>
      <c r="B601" s="3" t="s">
        <v>1282</v>
      </c>
      <c r="C601" s="8" t="s">
        <v>5121</v>
      </c>
      <c r="D601" s="9" t="s">
        <v>242</v>
      </c>
      <c r="E601" s="4" t="s">
        <v>1277</v>
      </c>
      <c r="F601" s="101" t="s">
        <v>17</v>
      </c>
      <c r="G601" s="128">
        <v>50</v>
      </c>
      <c r="H601" s="157">
        <f t="shared" si="18"/>
        <v>450</v>
      </c>
      <c r="I601" s="522">
        <f>+(630+905)/4</f>
        <v>383.75</v>
      </c>
      <c r="J601" s="519">
        <f t="shared" si="19"/>
        <v>833.75</v>
      </c>
      <c r="K601" s="268"/>
      <c r="L601" s="269"/>
    </row>
    <row r="602" spans="1:12" ht="20.25" customHeight="1" x14ac:dyDescent="0.2">
      <c r="A602" s="108">
        <v>597</v>
      </c>
      <c r="B602" s="171" t="s">
        <v>1283</v>
      </c>
      <c r="C602" s="110" t="s">
        <v>5154</v>
      </c>
      <c r="D602" s="111" t="s">
        <v>1284</v>
      </c>
      <c r="E602" s="112" t="s">
        <v>1285</v>
      </c>
      <c r="F602" s="113" t="s">
        <v>8</v>
      </c>
      <c r="G602" s="119">
        <v>50</v>
      </c>
      <c r="H602" s="120">
        <f t="shared" si="18"/>
        <v>450</v>
      </c>
      <c r="I602" s="511">
        <f>+(0+100)/4</f>
        <v>25</v>
      </c>
      <c r="J602" s="512">
        <f t="shared" si="19"/>
        <v>475</v>
      </c>
      <c r="K602" s="260"/>
      <c r="L602" s="365"/>
    </row>
    <row r="603" spans="1:12" ht="20.25" customHeight="1" x14ac:dyDescent="0.2">
      <c r="A603" s="114">
        <v>598</v>
      </c>
      <c r="B603" s="1" t="s">
        <v>1286</v>
      </c>
      <c r="C603" s="6" t="s">
        <v>5140</v>
      </c>
      <c r="D603" s="7" t="s">
        <v>1287</v>
      </c>
      <c r="E603" s="2" t="s">
        <v>1285</v>
      </c>
      <c r="F603" s="99" t="s">
        <v>11</v>
      </c>
      <c r="G603" s="121">
        <v>50</v>
      </c>
      <c r="H603" s="122">
        <f t="shared" si="18"/>
        <v>450</v>
      </c>
      <c r="I603" s="520">
        <f>+(0+100)/4</f>
        <v>25</v>
      </c>
      <c r="J603" s="514">
        <f t="shared" si="19"/>
        <v>475</v>
      </c>
      <c r="K603" s="262"/>
      <c r="L603" s="267"/>
    </row>
    <row r="604" spans="1:12" ht="20.25" customHeight="1" x14ac:dyDescent="0.2">
      <c r="A604" s="114">
        <v>599</v>
      </c>
      <c r="B604" s="1" t="s">
        <v>1288</v>
      </c>
      <c r="C604" s="6" t="s">
        <v>5480</v>
      </c>
      <c r="D604" s="7" t="s">
        <v>1289</v>
      </c>
      <c r="E604" s="2" t="s">
        <v>1285</v>
      </c>
      <c r="F604" s="99" t="s">
        <v>14</v>
      </c>
      <c r="G604" s="121">
        <v>150</v>
      </c>
      <c r="H604" s="122">
        <f t="shared" si="18"/>
        <v>350</v>
      </c>
      <c r="I604" s="520">
        <f>+(0+100)/4</f>
        <v>25</v>
      </c>
      <c r="J604" s="514">
        <f t="shared" si="19"/>
        <v>375</v>
      </c>
      <c r="K604" s="262"/>
      <c r="L604" s="267"/>
    </row>
    <row r="605" spans="1:12" ht="20.25" customHeight="1" thickBot="1" x14ac:dyDescent="0.25">
      <c r="A605" s="158">
        <v>600</v>
      </c>
      <c r="B605" s="159" t="s">
        <v>1290</v>
      </c>
      <c r="C605" s="160" t="s">
        <v>5481</v>
      </c>
      <c r="D605" s="161" t="s">
        <v>1291</v>
      </c>
      <c r="E605" s="162" t="s">
        <v>1285</v>
      </c>
      <c r="F605" s="163" t="s">
        <v>17</v>
      </c>
      <c r="G605" s="164">
        <v>150</v>
      </c>
      <c r="H605" s="153">
        <f t="shared" si="18"/>
        <v>350</v>
      </c>
      <c r="I605" s="521">
        <f>+(0+100)/4</f>
        <v>25</v>
      </c>
      <c r="J605" s="516">
        <f t="shared" si="19"/>
        <v>375</v>
      </c>
      <c r="K605" s="277"/>
      <c r="L605" s="364"/>
    </row>
    <row r="606" spans="1:12" ht="20.25" customHeight="1" x14ac:dyDescent="0.2">
      <c r="A606" s="407">
        <v>601</v>
      </c>
      <c r="B606" s="408" t="s">
        <v>1292</v>
      </c>
      <c r="C606" s="409" t="s">
        <v>5482</v>
      </c>
      <c r="D606" s="410" t="s">
        <v>1293</v>
      </c>
      <c r="E606" s="411" t="s">
        <v>1294</v>
      </c>
      <c r="F606" s="412" t="s">
        <v>8</v>
      </c>
      <c r="G606" s="413">
        <v>100</v>
      </c>
      <c r="H606" s="414">
        <f t="shared" si="18"/>
        <v>400</v>
      </c>
      <c r="I606" s="538">
        <f>+(465+980)/4</f>
        <v>361.25</v>
      </c>
      <c r="J606" s="539">
        <f t="shared" si="19"/>
        <v>761.25</v>
      </c>
      <c r="K606" s="415" t="s">
        <v>4999</v>
      </c>
      <c r="L606" s="416">
        <v>800</v>
      </c>
    </row>
    <row r="607" spans="1:12" ht="20.25" customHeight="1" x14ac:dyDescent="0.2">
      <c r="A607" s="114">
        <v>602</v>
      </c>
      <c r="B607" s="1" t="s">
        <v>1295</v>
      </c>
      <c r="C607" s="6" t="s">
        <v>5483</v>
      </c>
      <c r="D607" s="7" t="s">
        <v>1296</v>
      </c>
      <c r="E607" s="2" t="s">
        <v>1294</v>
      </c>
      <c r="F607" s="99" t="s">
        <v>11</v>
      </c>
      <c r="G607" s="121">
        <v>100</v>
      </c>
      <c r="H607" s="122">
        <f t="shared" si="18"/>
        <v>400</v>
      </c>
      <c r="I607" s="520">
        <f>+(465+980)/4</f>
        <v>361.25</v>
      </c>
      <c r="J607" s="514">
        <f t="shared" si="19"/>
        <v>761.25</v>
      </c>
      <c r="K607" s="262"/>
      <c r="L607" s="267"/>
    </row>
    <row r="608" spans="1:12" ht="20.25" customHeight="1" x14ac:dyDescent="0.2">
      <c r="A608" s="114">
        <v>603</v>
      </c>
      <c r="B608" s="1" t="s">
        <v>1297</v>
      </c>
      <c r="C608" s="6" t="s">
        <v>5484</v>
      </c>
      <c r="D608" s="7" t="s">
        <v>1298</v>
      </c>
      <c r="E608" s="2" t="s">
        <v>1294</v>
      </c>
      <c r="F608" s="99" t="s">
        <v>14</v>
      </c>
      <c r="G608" s="121">
        <v>100</v>
      </c>
      <c r="H608" s="122">
        <f t="shared" si="18"/>
        <v>400</v>
      </c>
      <c r="I608" s="520">
        <f>+(465+980)/4</f>
        <v>361.25</v>
      </c>
      <c r="J608" s="514">
        <f t="shared" si="19"/>
        <v>761.25</v>
      </c>
      <c r="K608" s="262"/>
      <c r="L608" s="267"/>
    </row>
    <row r="609" spans="1:12" ht="20.25" customHeight="1" thickBot="1" x14ac:dyDescent="0.25">
      <c r="A609" s="117">
        <v>604</v>
      </c>
      <c r="B609" s="3" t="s">
        <v>1299</v>
      </c>
      <c r="C609" s="8" t="s">
        <v>5065</v>
      </c>
      <c r="D609" s="9" t="s">
        <v>1300</v>
      </c>
      <c r="E609" s="4" t="s">
        <v>1294</v>
      </c>
      <c r="F609" s="101" t="s">
        <v>17</v>
      </c>
      <c r="G609" s="128">
        <v>50</v>
      </c>
      <c r="H609" s="157">
        <f t="shared" si="18"/>
        <v>450</v>
      </c>
      <c r="I609" s="522">
        <f>+(465+980)/4</f>
        <v>361.25</v>
      </c>
      <c r="J609" s="519">
        <f t="shared" si="19"/>
        <v>811.25</v>
      </c>
      <c r="K609" s="268"/>
      <c r="L609" s="269"/>
    </row>
    <row r="610" spans="1:12" ht="20.25" customHeight="1" x14ac:dyDescent="0.2">
      <c r="A610" s="108">
        <v>605</v>
      </c>
      <c r="B610" s="171" t="s">
        <v>1301</v>
      </c>
      <c r="C610" s="110" t="s">
        <v>5485</v>
      </c>
      <c r="D610" s="111" t="s">
        <v>1302</v>
      </c>
      <c r="E610" s="112" t="s">
        <v>1303</v>
      </c>
      <c r="F610" s="113" t="s">
        <v>8</v>
      </c>
      <c r="G610" s="119">
        <v>50</v>
      </c>
      <c r="H610" s="120">
        <f t="shared" si="18"/>
        <v>450</v>
      </c>
      <c r="I610" s="511">
        <f>+(1545+865)/4</f>
        <v>602.5</v>
      </c>
      <c r="J610" s="512">
        <f t="shared" si="19"/>
        <v>1052.5</v>
      </c>
      <c r="K610" s="260"/>
      <c r="L610" s="365"/>
    </row>
    <row r="611" spans="1:12" ht="20.25" customHeight="1" x14ac:dyDescent="0.2">
      <c r="A611" s="114">
        <v>606</v>
      </c>
      <c r="B611" s="1" t="s">
        <v>1304</v>
      </c>
      <c r="C611" s="6" t="s">
        <v>5486</v>
      </c>
      <c r="D611" s="7" t="s">
        <v>1305</v>
      </c>
      <c r="E611" s="2" t="s">
        <v>1303</v>
      </c>
      <c r="F611" s="99" t="s">
        <v>11</v>
      </c>
      <c r="G611" s="121">
        <v>50</v>
      </c>
      <c r="H611" s="122">
        <f t="shared" si="18"/>
        <v>450</v>
      </c>
      <c r="I611" s="520">
        <f>+(1545+865)/4</f>
        <v>602.5</v>
      </c>
      <c r="J611" s="514">
        <f t="shared" si="19"/>
        <v>1052.5</v>
      </c>
      <c r="K611" s="262"/>
      <c r="L611" s="267"/>
    </row>
    <row r="612" spans="1:12" ht="20.25" customHeight="1" x14ac:dyDescent="0.2">
      <c r="A612" s="114">
        <v>607</v>
      </c>
      <c r="B612" s="1" t="s">
        <v>1306</v>
      </c>
      <c r="C612" s="6" t="s">
        <v>5487</v>
      </c>
      <c r="D612" s="7" t="s">
        <v>1307</v>
      </c>
      <c r="E612" s="2" t="s">
        <v>1303</v>
      </c>
      <c r="F612" s="99" t="s">
        <v>14</v>
      </c>
      <c r="G612" s="121">
        <v>50</v>
      </c>
      <c r="H612" s="122">
        <f t="shared" si="18"/>
        <v>450</v>
      </c>
      <c r="I612" s="520">
        <f>+(1545+865)/4</f>
        <v>602.5</v>
      </c>
      <c r="J612" s="514">
        <f t="shared" si="19"/>
        <v>1052.5</v>
      </c>
      <c r="K612" s="262"/>
      <c r="L612" s="267"/>
    </row>
    <row r="613" spans="1:12" ht="20.25" customHeight="1" thickBot="1" x14ac:dyDescent="0.25">
      <c r="A613" s="158">
        <v>608</v>
      </c>
      <c r="B613" s="159" t="s">
        <v>1308</v>
      </c>
      <c r="C613" s="160" t="s">
        <v>5488</v>
      </c>
      <c r="D613" s="161" t="s">
        <v>1309</v>
      </c>
      <c r="E613" s="162" t="s">
        <v>1303</v>
      </c>
      <c r="F613" s="163" t="s">
        <v>17</v>
      </c>
      <c r="G613" s="164">
        <v>50</v>
      </c>
      <c r="H613" s="153">
        <f t="shared" si="18"/>
        <v>450</v>
      </c>
      <c r="I613" s="521">
        <f>+(1545+865)/4</f>
        <v>602.5</v>
      </c>
      <c r="J613" s="516">
        <f t="shared" si="19"/>
        <v>1052.5</v>
      </c>
      <c r="K613" s="277"/>
      <c r="L613" s="364"/>
    </row>
    <row r="614" spans="1:12" ht="20.25" customHeight="1" x14ac:dyDescent="0.2">
      <c r="A614" s="115">
        <v>609</v>
      </c>
      <c r="B614" s="64" t="s">
        <v>1310</v>
      </c>
      <c r="C614" s="65" t="s">
        <v>5489</v>
      </c>
      <c r="D614" s="66" t="s">
        <v>1311</v>
      </c>
      <c r="E614" s="67" t="s">
        <v>1312</v>
      </c>
      <c r="F614" s="98" t="s">
        <v>8</v>
      </c>
      <c r="G614" s="123">
        <v>50</v>
      </c>
      <c r="H614" s="124">
        <f t="shared" si="18"/>
        <v>450</v>
      </c>
      <c r="I614" s="513">
        <f>+(365+1015)/4</f>
        <v>345</v>
      </c>
      <c r="J614" s="517">
        <f t="shared" si="19"/>
        <v>795</v>
      </c>
      <c r="K614" s="264"/>
      <c r="L614" s="363"/>
    </row>
    <row r="615" spans="1:12" ht="20.25" customHeight="1" x14ac:dyDescent="0.2">
      <c r="A615" s="114">
        <v>610</v>
      </c>
      <c r="B615" s="1" t="s">
        <v>1313</v>
      </c>
      <c r="C615" s="6" t="s">
        <v>5490</v>
      </c>
      <c r="D615" s="7" t="s">
        <v>1314</v>
      </c>
      <c r="E615" s="2" t="s">
        <v>1312</v>
      </c>
      <c r="F615" s="99" t="s">
        <v>11</v>
      </c>
      <c r="G615" s="121">
        <v>50</v>
      </c>
      <c r="H615" s="122">
        <f t="shared" si="18"/>
        <v>450</v>
      </c>
      <c r="I615" s="520">
        <f>+(365+1015)/4</f>
        <v>345</v>
      </c>
      <c r="J615" s="514">
        <f t="shared" si="19"/>
        <v>795</v>
      </c>
      <c r="K615" s="262"/>
      <c r="L615" s="267"/>
    </row>
    <row r="616" spans="1:12" ht="20.25" customHeight="1" x14ac:dyDescent="0.2">
      <c r="A616" s="114">
        <v>611</v>
      </c>
      <c r="B616" s="1" t="s">
        <v>1315</v>
      </c>
      <c r="C616" s="6" t="s">
        <v>5491</v>
      </c>
      <c r="D616" s="7" t="s">
        <v>1316</v>
      </c>
      <c r="E616" s="2" t="s">
        <v>1312</v>
      </c>
      <c r="F616" s="99" t="s">
        <v>14</v>
      </c>
      <c r="G616" s="121">
        <v>50</v>
      </c>
      <c r="H616" s="122">
        <f t="shared" si="18"/>
        <v>450</v>
      </c>
      <c r="I616" s="520">
        <f>+(365+1015)/4</f>
        <v>345</v>
      </c>
      <c r="J616" s="514">
        <f t="shared" si="19"/>
        <v>795</v>
      </c>
      <c r="K616" s="262"/>
      <c r="L616" s="267"/>
    </row>
    <row r="617" spans="1:12" ht="20.25" customHeight="1" thickBot="1" x14ac:dyDescent="0.25">
      <c r="A617" s="117">
        <v>612</v>
      </c>
      <c r="B617" s="3" t="s">
        <v>1317</v>
      </c>
      <c r="C617" s="8" t="s">
        <v>5492</v>
      </c>
      <c r="D617" s="9" t="s">
        <v>1318</v>
      </c>
      <c r="E617" s="4" t="s">
        <v>1312</v>
      </c>
      <c r="F617" s="101" t="s">
        <v>17</v>
      </c>
      <c r="G617" s="128">
        <v>50</v>
      </c>
      <c r="H617" s="157">
        <f t="shared" si="18"/>
        <v>450</v>
      </c>
      <c r="I617" s="522">
        <f>+(365+1015)/4</f>
        <v>345</v>
      </c>
      <c r="J617" s="519">
        <f t="shared" si="19"/>
        <v>795</v>
      </c>
      <c r="K617" s="268"/>
      <c r="L617" s="269"/>
    </row>
    <row r="618" spans="1:12" ht="20.25" customHeight="1" x14ac:dyDescent="0.2">
      <c r="A618" s="108">
        <v>613</v>
      </c>
      <c r="B618" s="171" t="s">
        <v>1319</v>
      </c>
      <c r="C618" s="110" t="s">
        <v>5133</v>
      </c>
      <c r="D618" s="111" t="s">
        <v>1320</v>
      </c>
      <c r="E618" s="112" t="s">
        <v>1321</v>
      </c>
      <c r="F618" s="113" t="s">
        <v>8</v>
      </c>
      <c r="G618" s="119">
        <v>150</v>
      </c>
      <c r="H618" s="120">
        <f t="shared" si="18"/>
        <v>350</v>
      </c>
      <c r="I618" s="511">
        <f>+(0+85)/4</f>
        <v>21.25</v>
      </c>
      <c r="J618" s="512">
        <f t="shared" si="19"/>
        <v>371.25</v>
      </c>
      <c r="K618" s="260"/>
      <c r="L618" s="365"/>
    </row>
    <row r="619" spans="1:12" ht="20.25" customHeight="1" x14ac:dyDescent="0.2">
      <c r="A619" s="114">
        <v>614</v>
      </c>
      <c r="B619" s="1" t="s">
        <v>1322</v>
      </c>
      <c r="C619" s="6" t="s">
        <v>5098</v>
      </c>
      <c r="D619" s="7" t="s">
        <v>1323</v>
      </c>
      <c r="E619" s="2" t="s">
        <v>1321</v>
      </c>
      <c r="F619" s="99" t="s">
        <v>11</v>
      </c>
      <c r="G619" s="121">
        <v>50</v>
      </c>
      <c r="H619" s="122">
        <f t="shared" si="18"/>
        <v>450</v>
      </c>
      <c r="I619" s="520">
        <f>+(0+85)/4</f>
        <v>21.25</v>
      </c>
      <c r="J619" s="514">
        <f t="shared" si="19"/>
        <v>471.25</v>
      </c>
      <c r="K619" s="262"/>
      <c r="L619" s="267"/>
    </row>
    <row r="620" spans="1:12" ht="20.25" customHeight="1" x14ac:dyDescent="0.2">
      <c r="A620" s="114">
        <v>615</v>
      </c>
      <c r="B620" s="1" t="s">
        <v>1324</v>
      </c>
      <c r="C620" s="6" t="s">
        <v>5493</v>
      </c>
      <c r="D620" s="7" t="s">
        <v>1325</v>
      </c>
      <c r="E620" s="2" t="s">
        <v>1321</v>
      </c>
      <c r="F620" s="99" t="s">
        <v>14</v>
      </c>
      <c r="G620" s="121">
        <v>50</v>
      </c>
      <c r="H620" s="122">
        <f t="shared" si="18"/>
        <v>450</v>
      </c>
      <c r="I620" s="520">
        <f>+(0+85)/4</f>
        <v>21.25</v>
      </c>
      <c r="J620" s="514">
        <f t="shared" si="19"/>
        <v>471.25</v>
      </c>
      <c r="K620" s="262"/>
      <c r="L620" s="267"/>
    </row>
    <row r="621" spans="1:12" ht="20.25" customHeight="1" thickBot="1" x14ac:dyDescent="0.25">
      <c r="A621" s="158">
        <v>616</v>
      </c>
      <c r="B621" s="159" t="s">
        <v>1326</v>
      </c>
      <c r="C621" s="160" t="s">
        <v>5494</v>
      </c>
      <c r="D621" s="161" t="s">
        <v>1327</v>
      </c>
      <c r="E621" s="162" t="s">
        <v>1321</v>
      </c>
      <c r="F621" s="163" t="s">
        <v>17</v>
      </c>
      <c r="G621" s="164">
        <v>50</v>
      </c>
      <c r="H621" s="153">
        <f t="shared" si="18"/>
        <v>450</v>
      </c>
      <c r="I621" s="521">
        <f>+(0+85)/4</f>
        <v>21.25</v>
      </c>
      <c r="J621" s="516">
        <f t="shared" si="19"/>
        <v>471.25</v>
      </c>
      <c r="K621" s="277"/>
      <c r="L621" s="364"/>
    </row>
    <row r="622" spans="1:12" ht="20.25" customHeight="1" x14ac:dyDescent="0.2">
      <c r="A622" s="115">
        <v>617</v>
      </c>
      <c r="B622" s="64" t="s">
        <v>1328</v>
      </c>
      <c r="C622" s="65" t="s">
        <v>5172</v>
      </c>
      <c r="D622" s="66" t="s">
        <v>1329</v>
      </c>
      <c r="E622" s="67" t="s">
        <v>1330</v>
      </c>
      <c r="F622" s="98" t="s">
        <v>8</v>
      </c>
      <c r="G622" s="123">
        <v>50</v>
      </c>
      <c r="H622" s="124">
        <f t="shared" si="18"/>
        <v>450</v>
      </c>
      <c r="I622" s="513">
        <f>+(0+690)/4</f>
        <v>172.5</v>
      </c>
      <c r="J622" s="517">
        <f t="shared" si="19"/>
        <v>622.5</v>
      </c>
      <c r="K622" s="264"/>
      <c r="L622" s="363"/>
    </row>
    <row r="623" spans="1:12" ht="20.25" customHeight="1" x14ac:dyDescent="0.2">
      <c r="A623" s="114">
        <v>618</v>
      </c>
      <c r="B623" s="1" t="s">
        <v>1331</v>
      </c>
      <c r="C623" s="6" t="s">
        <v>5495</v>
      </c>
      <c r="D623" s="7" t="s">
        <v>1332</v>
      </c>
      <c r="E623" s="2" t="s">
        <v>1330</v>
      </c>
      <c r="F623" s="99" t="s">
        <v>11</v>
      </c>
      <c r="G623" s="121">
        <v>100</v>
      </c>
      <c r="H623" s="122">
        <f t="shared" si="18"/>
        <v>400</v>
      </c>
      <c r="I623" s="520">
        <f>+(0+690)/4</f>
        <v>172.5</v>
      </c>
      <c r="J623" s="514">
        <f t="shared" si="19"/>
        <v>572.5</v>
      </c>
      <c r="K623" s="262"/>
      <c r="L623" s="267"/>
    </row>
    <row r="624" spans="1:12" ht="20.25" customHeight="1" x14ac:dyDescent="0.2">
      <c r="A624" s="114">
        <v>619</v>
      </c>
      <c r="B624" s="1" t="s">
        <v>1333</v>
      </c>
      <c r="C624" s="6" t="s">
        <v>5021</v>
      </c>
      <c r="D624" s="7" t="s">
        <v>1334</v>
      </c>
      <c r="E624" s="2" t="s">
        <v>1330</v>
      </c>
      <c r="F624" s="99" t="s">
        <v>14</v>
      </c>
      <c r="G624" s="121">
        <v>50</v>
      </c>
      <c r="H624" s="122">
        <f t="shared" si="18"/>
        <v>450</v>
      </c>
      <c r="I624" s="520">
        <f>+(0+690)/4</f>
        <v>172.5</v>
      </c>
      <c r="J624" s="514">
        <f t="shared" si="19"/>
        <v>622.5</v>
      </c>
      <c r="K624" s="262"/>
      <c r="L624" s="267"/>
    </row>
    <row r="625" spans="1:12" ht="20.25" customHeight="1" thickBot="1" x14ac:dyDescent="0.25">
      <c r="A625" s="117">
        <v>620</v>
      </c>
      <c r="B625" s="3" t="s">
        <v>1335</v>
      </c>
      <c r="C625" s="8" t="s">
        <v>5496</v>
      </c>
      <c r="D625" s="9" t="s">
        <v>1336</v>
      </c>
      <c r="E625" s="4" t="s">
        <v>1330</v>
      </c>
      <c r="F625" s="101" t="s">
        <v>17</v>
      </c>
      <c r="G625" s="128">
        <v>100</v>
      </c>
      <c r="H625" s="157">
        <f t="shared" si="18"/>
        <v>400</v>
      </c>
      <c r="I625" s="522">
        <f>+(0+690)/4</f>
        <v>172.5</v>
      </c>
      <c r="J625" s="519">
        <f t="shared" si="19"/>
        <v>572.5</v>
      </c>
      <c r="K625" s="268"/>
      <c r="L625" s="269"/>
    </row>
    <row r="626" spans="1:12" ht="20.25" customHeight="1" x14ac:dyDescent="0.2">
      <c r="A626" s="108">
        <v>621</v>
      </c>
      <c r="B626" s="171" t="s">
        <v>1337</v>
      </c>
      <c r="C626" s="110" t="s">
        <v>5412</v>
      </c>
      <c r="D626" s="111" t="s">
        <v>1338</v>
      </c>
      <c r="E626" s="112" t="s">
        <v>1339</v>
      </c>
      <c r="F626" s="113" t="s">
        <v>8</v>
      </c>
      <c r="G626" s="119">
        <v>100</v>
      </c>
      <c r="H626" s="120">
        <f t="shared" si="18"/>
        <v>400</v>
      </c>
      <c r="I626" s="511">
        <f>+(-165+80)/4</f>
        <v>-21.25</v>
      </c>
      <c r="J626" s="512">
        <f t="shared" si="19"/>
        <v>378.75</v>
      </c>
      <c r="K626" s="260"/>
      <c r="L626" s="365"/>
    </row>
    <row r="627" spans="1:12" ht="20.25" customHeight="1" x14ac:dyDescent="0.2">
      <c r="A627" s="114">
        <v>622</v>
      </c>
      <c r="B627" s="1" t="s">
        <v>1340</v>
      </c>
      <c r="C627" s="6" t="s">
        <v>5497</v>
      </c>
      <c r="D627" s="7" t="s">
        <v>1341</v>
      </c>
      <c r="E627" s="2" t="s">
        <v>1339</v>
      </c>
      <c r="F627" s="99" t="s">
        <v>11</v>
      </c>
      <c r="G627" s="121">
        <v>50</v>
      </c>
      <c r="H627" s="122">
        <f t="shared" si="18"/>
        <v>450</v>
      </c>
      <c r="I627" s="520">
        <f>+(-165+80)/4</f>
        <v>-21.25</v>
      </c>
      <c r="J627" s="514">
        <f t="shared" si="19"/>
        <v>428.75</v>
      </c>
      <c r="K627" s="262"/>
      <c r="L627" s="267"/>
    </row>
    <row r="628" spans="1:12" ht="20.25" customHeight="1" x14ac:dyDescent="0.2">
      <c r="A628" s="114">
        <v>623</v>
      </c>
      <c r="B628" s="1" t="s">
        <v>1342</v>
      </c>
      <c r="C628" s="6" t="s">
        <v>5197</v>
      </c>
      <c r="D628" s="7" t="s">
        <v>1343</v>
      </c>
      <c r="E628" s="2" t="s">
        <v>1339</v>
      </c>
      <c r="F628" s="99" t="s">
        <v>14</v>
      </c>
      <c r="G628" s="121">
        <v>150</v>
      </c>
      <c r="H628" s="122">
        <f t="shared" si="18"/>
        <v>350</v>
      </c>
      <c r="I628" s="520">
        <f>+(-165+80)/4</f>
        <v>-21.25</v>
      </c>
      <c r="J628" s="514">
        <f t="shared" si="19"/>
        <v>328.75</v>
      </c>
      <c r="K628" s="262"/>
      <c r="L628" s="267"/>
    </row>
    <row r="629" spans="1:12" ht="20.25" customHeight="1" thickBot="1" x14ac:dyDescent="0.25">
      <c r="A629" s="158">
        <v>624</v>
      </c>
      <c r="B629" s="159" t="s">
        <v>1344</v>
      </c>
      <c r="C629" s="160" t="s">
        <v>5498</v>
      </c>
      <c r="D629" s="161" t="s">
        <v>1345</v>
      </c>
      <c r="E629" s="162" t="s">
        <v>1339</v>
      </c>
      <c r="F629" s="163" t="s">
        <v>17</v>
      </c>
      <c r="G629" s="164">
        <v>100</v>
      </c>
      <c r="H629" s="153">
        <f t="shared" si="18"/>
        <v>400</v>
      </c>
      <c r="I629" s="521">
        <f>+(-165+80)/4</f>
        <v>-21.25</v>
      </c>
      <c r="J629" s="516">
        <f t="shared" si="19"/>
        <v>378.75</v>
      </c>
      <c r="K629" s="277"/>
      <c r="L629" s="364"/>
    </row>
    <row r="630" spans="1:12" ht="20.25" customHeight="1" x14ac:dyDescent="0.2">
      <c r="A630" s="115">
        <v>625</v>
      </c>
      <c r="B630" s="64" t="s">
        <v>1346</v>
      </c>
      <c r="C630" s="65" t="s">
        <v>5499</v>
      </c>
      <c r="D630" s="66" t="s">
        <v>1347</v>
      </c>
      <c r="E630" s="67" t="s">
        <v>1348</v>
      </c>
      <c r="F630" s="98" t="s">
        <v>8</v>
      </c>
      <c r="G630" s="123">
        <v>350</v>
      </c>
      <c r="H630" s="124">
        <f t="shared" si="18"/>
        <v>150</v>
      </c>
      <c r="I630" s="513">
        <f>+(100+595)/4</f>
        <v>173.75</v>
      </c>
      <c r="J630" s="517">
        <f t="shared" si="19"/>
        <v>323.75</v>
      </c>
      <c r="K630" s="264"/>
      <c r="L630" s="363"/>
    </row>
    <row r="631" spans="1:12" ht="20.25" customHeight="1" x14ac:dyDescent="0.2">
      <c r="A631" s="114">
        <v>626</v>
      </c>
      <c r="B631" s="1" t="s">
        <v>1349</v>
      </c>
      <c r="C631" s="6" t="s">
        <v>5274</v>
      </c>
      <c r="D631" s="7" t="s">
        <v>1350</v>
      </c>
      <c r="E631" s="2" t="s">
        <v>1348</v>
      </c>
      <c r="F631" s="99" t="s">
        <v>11</v>
      </c>
      <c r="G631" s="121">
        <v>50</v>
      </c>
      <c r="H631" s="122">
        <f t="shared" si="18"/>
        <v>450</v>
      </c>
      <c r="I631" s="520">
        <f>+(100+595)/4</f>
        <v>173.75</v>
      </c>
      <c r="J631" s="514">
        <f t="shared" si="19"/>
        <v>623.75</v>
      </c>
      <c r="K631" s="262"/>
      <c r="L631" s="267"/>
    </row>
    <row r="632" spans="1:12" ht="20.25" customHeight="1" x14ac:dyDescent="0.2">
      <c r="A632" s="114">
        <v>627</v>
      </c>
      <c r="B632" s="1" t="s">
        <v>1351</v>
      </c>
      <c r="C632" s="6" t="s">
        <v>5500</v>
      </c>
      <c r="D632" s="7" t="s">
        <v>1352</v>
      </c>
      <c r="E632" s="2" t="s">
        <v>1348</v>
      </c>
      <c r="F632" s="99" t="s">
        <v>14</v>
      </c>
      <c r="G632" s="121">
        <v>50</v>
      </c>
      <c r="H632" s="122">
        <f t="shared" si="18"/>
        <v>450</v>
      </c>
      <c r="I632" s="520">
        <f>+(100+595)/4</f>
        <v>173.75</v>
      </c>
      <c r="J632" s="514">
        <f t="shared" si="19"/>
        <v>623.75</v>
      </c>
      <c r="K632" s="262"/>
      <c r="L632" s="267"/>
    </row>
    <row r="633" spans="1:12" ht="20.25" customHeight="1" thickBot="1" x14ac:dyDescent="0.25">
      <c r="A633" s="117">
        <v>628</v>
      </c>
      <c r="B633" s="3" t="s">
        <v>1353</v>
      </c>
      <c r="C633" s="8" t="s">
        <v>5501</v>
      </c>
      <c r="D633" s="9" t="s">
        <v>1354</v>
      </c>
      <c r="E633" s="4" t="s">
        <v>1348</v>
      </c>
      <c r="F633" s="101" t="s">
        <v>17</v>
      </c>
      <c r="G633" s="128">
        <v>50</v>
      </c>
      <c r="H633" s="157">
        <f t="shared" si="18"/>
        <v>450</v>
      </c>
      <c r="I633" s="522">
        <f>+(100+595)/4</f>
        <v>173.75</v>
      </c>
      <c r="J633" s="519">
        <f t="shared" si="19"/>
        <v>623.75</v>
      </c>
      <c r="K633" s="268"/>
      <c r="L633" s="269"/>
    </row>
    <row r="634" spans="1:12" ht="20.25" customHeight="1" x14ac:dyDescent="0.2">
      <c r="A634" s="108">
        <v>629</v>
      </c>
      <c r="B634" s="171" t="s">
        <v>1355</v>
      </c>
      <c r="C634" s="110" t="s">
        <v>5502</v>
      </c>
      <c r="D634" s="111" t="s">
        <v>1356</v>
      </c>
      <c r="E634" s="112" t="s">
        <v>1357</v>
      </c>
      <c r="F634" s="113" t="s">
        <v>8</v>
      </c>
      <c r="G634" s="119">
        <v>100</v>
      </c>
      <c r="H634" s="120">
        <f t="shared" si="18"/>
        <v>400</v>
      </c>
      <c r="I634" s="511">
        <f>+(735+1440)/4</f>
        <v>543.75</v>
      </c>
      <c r="J634" s="512">
        <f t="shared" si="19"/>
        <v>943.75</v>
      </c>
      <c r="K634" s="260"/>
      <c r="L634" s="365"/>
    </row>
    <row r="635" spans="1:12" ht="20.25" customHeight="1" x14ac:dyDescent="0.2">
      <c r="A635" s="114">
        <v>630</v>
      </c>
      <c r="B635" s="1" t="s">
        <v>1358</v>
      </c>
      <c r="C635" s="6" t="s">
        <v>5503</v>
      </c>
      <c r="D635" s="7" t="s">
        <v>1359</v>
      </c>
      <c r="E635" s="2" t="s">
        <v>1357</v>
      </c>
      <c r="F635" s="99" t="s">
        <v>11</v>
      </c>
      <c r="G635" s="121">
        <v>100</v>
      </c>
      <c r="H635" s="122">
        <f t="shared" si="18"/>
        <v>400</v>
      </c>
      <c r="I635" s="520">
        <f>+(735+1440)/4</f>
        <v>543.75</v>
      </c>
      <c r="J635" s="514">
        <f t="shared" si="19"/>
        <v>943.75</v>
      </c>
      <c r="K635" s="262"/>
      <c r="L635" s="267"/>
    </row>
    <row r="636" spans="1:12" ht="20.25" customHeight="1" x14ac:dyDescent="0.2">
      <c r="A636" s="114">
        <v>631</v>
      </c>
      <c r="B636" s="1" t="s">
        <v>1360</v>
      </c>
      <c r="C636" s="6" t="s">
        <v>5504</v>
      </c>
      <c r="D636" s="7" t="s">
        <v>1361</v>
      </c>
      <c r="E636" s="2" t="s">
        <v>1357</v>
      </c>
      <c r="F636" s="99" t="s">
        <v>14</v>
      </c>
      <c r="G636" s="121">
        <v>100</v>
      </c>
      <c r="H636" s="122">
        <f t="shared" si="18"/>
        <v>400</v>
      </c>
      <c r="I636" s="520">
        <f>+(735+1440)/4</f>
        <v>543.75</v>
      </c>
      <c r="J636" s="514">
        <f t="shared" si="19"/>
        <v>943.75</v>
      </c>
      <c r="K636" s="262"/>
      <c r="L636" s="267"/>
    </row>
    <row r="637" spans="1:12" ht="20.25" customHeight="1" thickBot="1" x14ac:dyDescent="0.25">
      <c r="A637" s="158">
        <v>632</v>
      </c>
      <c r="B637" s="159" t="s">
        <v>1362</v>
      </c>
      <c r="C637" s="160" t="s">
        <v>5179</v>
      </c>
      <c r="D637" s="161" t="s">
        <v>1363</v>
      </c>
      <c r="E637" s="162" t="s">
        <v>1357</v>
      </c>
      <c r="F637" s="163" t="s">
        <v>17</v>
      </c>
      <c r="G637" s="164">
        <v>50</v>
      </c>
      <c r="H637" s="153">
        <f t="shared" si="18"/>
        <v>450</v>
      </c>
      <c r="I637" s="521">
        <f>+(735+1440)/4</f>
        <v>543.75</v>
      </c>
      <c r="J637" s="516">
        <f t="shared" si="19"/>
        <v>993.75</v>
      </c>
      <c r="K637" s="277"/>
      <c r="L637" s="364"/>
    </row>
    <row r="638" spans="1:12" ht="20.25" customHeight="1" x14ac:dyDescent="0.2">
      <c r="A638" s="115">
        <v>633</v>
      </c>
      <c r="B638" s="64" t="s">
        <v>1364</v>
      </c>
      <c r="C638" s="65" t="s">
        <v>5308</v>
      </c>
      <c r="D638" s="66" t="s">
        <v>1365</v>
      </c>
      <c r="E638" s="67" t="s">
        <v>1366</v>
      </c>
      <c r="F638" s="98" t="s">
        <v>8</v>
      </c>
      <c r="G638" s="123">
        <v>100</v>
      </c>
      <c r="H638" s="124">
        <f t="shared" si="18"/>
        <v>400</v>
      </c>
      <c r="I638" s="513">
        <f>+(825+895)/4</f>
        <v>430</v>
      </c>
      <c r="J638" s="517">
        <f t="shared" si="19"/>
        <v>830</v>
      </c>
      <c r="K638" s="264"/>
      <c r="L638" s="363"/>
    </row>
    <row r="639" spans="1:12" ht="20.25" customHeight="1" x14ac:dyDescent="0.2">
      <c r="A639" s="114">
        <v>634</v>
      </c>
      <c r="B639" s="46" t="s">
        <v>1367</v>
      </c>
      <c r="C639" s="29" t="s">
        <v>5162</v>
      </c>
      <c r="D639" s="28" t="s">
        <v>1368</v>
      </c>
      <c r="E639" s="30" t="s">
        <v>1366</v>
      </c>
      <c r="F639" s="73" t="s">
        <v>11</v>
      </c>
      <c r="G639" s="126">
        <v>100</v>
      </c>
      <c r="H639" s="122">
        <f t="shared" si="18"/>
        <v>400</v>
      </c>
      <c r="I639" s="520">
        <f>+(825+895)/4</f>
        <v>430</v>
      </c>
      <c r="J639" s="514">
        <f t="shared" si="19"/>
        <v>830</v>
      </c>
      <c r="K639" s="266"/>
      <c r="L639" s="267"/>
    </row>
    <row r="640" spans="1:12" ht="20.25" customHeight="1" x14ac:dyDescent="0.2">
      <c r="A640" s="114">
        <v>635</v>
      </c>
      <c r="B640" s="1" t="s">
        <v>1369</v>
      </c>
      <c r="C640" s="6" t="s">
        <v>5063</v>
      </c>
      <c r="D640" s="7" t="s">
        <v>1370</v>
      </c>
      <c r="E640" s="2" t="s">
        <v>1366</v>
      </c>
      <c r="F640" s="99" t="s">
        <v>14</v>
      </c>
      <c r="G640" s="121">
        <v>100</v>
      </c>
      <c r="H640" s="122">
        <f t="shared" si="18"/>
        <v>400</v>
      </c>
      <c r="I640" s="520">
        <f>+(825+895)/4</f>
        <v>430</v>
      </c>
      <c r="J640" s="514">
        <f t="shared" si="19"/>
        <v>830</v>
      </c>
      <c r="K640" s="262"/>
      <c r="L640" s="267"/>
    </row>
    <row r="641" spans="1:12" ht="20.25" customHeight="1" thickBot="1" x14ac:dyDescent="0.25">
      <c r="A641" s="117">
        <v>636</v>
      </c>
      <c r="B641" s="3" t="s">
        <v>1371</v>
      </c>
      <c r="C641" s="8" t="s">
        <v>5505</v>
      </c>
      <c r="D641" s="9" t="s">
        <v>1372</v>
      </c>
      <c r="E641" s="4" t="s">
        <v>1366</v>
      </c>
      <c r="F641" s="101" t="s">
        <v>17</v>
      </c>
      <c r="G641" s="128">
        <v>100</v>
      </c>
      <c r="H641" s="157">
        <f t="shared" si="18"/>
        <v>400</v>
      </c>
      <c r="I641" s="522">
        <f>+(825+895)/4</f>
        <v>430</v>
      </c>
      <c r="J641" s="519">
        <f t="shared" si="19"/>
        <v>830</v>
      </c>
      <c r="K641" s="268"/>
      <c r="L641" s="269"/>
    </row>
    <row r="642" spans="1:12" ht="20.25" customHeight="1" x14ac:dyDescent="0.2">
      <c r="A642" s="108">
        <v>637</v>
      </c>
      <c r="B642" s="171" t="s">
        <v>1373</v>
      </c>
      <c r="C642" s="110" t="s">
        <v>5153</v>
      </c>
      <c r="D642" s="111" t="s">
        <v>1374</v>
      </c>
      <c r="E642" s="112" t="s">
        <v>1375</v>
      </c>
      <c r="F642" s="113" t="s">
        <v>8</v>
      </c>
      <c r="G642" s="119">
        <v>50</v>
      </c>
      <c r="H642" s="120">
        <f t="shared" si="18"/>
        <v>450</v>
      </c>
      <c r="I642" s="511">
        <f>+(235+740)/4</f>
        <v>243.75</v>
      </c>
      <c r="J642" s="512">
        <f t="shared" si="19"/>
        <v>693.75</v>
      </c>
      <c r="K642" s="260"/>
      <c r="L642" s="365"/>
    </row>
    <row r="643" spans="1:12" ht="20.25" customHeight="1" x14ac:dyDescent="0.2">
      <c r="A643" s="114">
        <v>638</v>
      </c>
      <c r="B643" s="1" t="s">
        <v>1376</v>
      </c>
      <c r="C643" s="6" t="s">
        <v>5133</v>
      </c>
      <c r="D643" s="7" t="s">
        <v>1377</v>
      </c>
      <c r="E643" s="2" t="s">
        <v>1375</v>
      </c>
      <c r="F643" s="99" t="s">
        <v>11</v>
      </c>
      <c r="G643" s="121">
        <v>50</v>
      </c>
      <c r="H643" s="122">
        <f t="shared" si="18"/>
        <v>450</v>
      </c>
      <c r="I643" s="520">
        <f>+(235+740)/4</f>
        <v>243.75</v>
      </c>
      <c r="J643" s="514">
        <f t="shared" si="19"/>
        <v>693.75</v>
      </c>
      <c r="K643" s="262"/>
      <c r="L643" s="267"/>
    </row>
    <row r="644" spans="1:12" ht="20.25" customHeight="1" x14ac:dyDescent="0.2">
      <c r="A644" s="114">
        <v>639</v>
      </c>
      <c r="B644" s="1" t="s">
        <v>1378</v>
      </c>
      <c r="C644" s="6" t="s">
        <v>5088</v>
      </c>
      <c r="D644" s="7" t="s">
        <v>1379</v>
      </c>
      <c r="E644" s="2" t="s">
        <v>1375</v>
      </c>
      <c r="F644" s="99" t="s">
        <v>14</v>
      </c>
      <c r="G644" s="121">
        <v>50</v>
      </c>
      <c r="H644" s="122">
        <f t="shared" si="18"/>
        <v>450</v>
      </c>
      <c r="I644" s="520">
        <f>+(235+740)/4</f>
        <v>243.75</v>
      </c>
      <c r="J644" s="514">
        <f t="shared" si="19"/>
        <v>693.75</v>
      </c>
      <c r="K644" s="262"/>
      <c r="L644" s="267"/>
    </row>
    <row r="645" spans="1:12" ht="20.25" customHeight="1" thickBot="1" x14ac:dyDescent="0.25">
      <c r="A645" s="158">
        <v>640</v>
      </c>
      <c r="B645" s="159" t="s">
        <v>1380</v>
      </c>
      <c r="C645" s="160" t="s">
        <v>5506</v>
      </c>
      <c r="D645" s="161" t="s">
        <v>1381</v>
      </c>
      <c r="E645" s="162" t="s">
        <v>1375</v>
      </c>
      <c r="F645" s="163" t="s">
        <v>17</v>
      </c>
      <c r="G645" s="164">
        <v>50</v>
      </c>
      <c r="H645" s="153">
        <f t="shared" si="18"/>
        <v>450</v>
      </c>
      <c r="I645" s="521">
        <f>+(235+740)/4</f>
        <v>243.75</v>
      </c>
      <c r="J645" s="516">
        <f t="shared" si="19"/>
        <v>693.75</v>
      </c>
      <c r="K645" s="277"/>
      <c r="L645" s="364"/>
    </row>
    <row r="646" spans="1:12" ht="20.25" customHeight="1" x14ac:dyDescent="0.2">
      <c r="A646" s="115">
        <v>641</v>
      </c>
      <c r="B646" s="61" t="s">
        <v>1382</v>
      </c>
      <c r="C646" s="62" t="s">
        <v>5507</v>
      </c>
      <c r="D646" s="63" t="s">
        <v>1383</v>
      </c>
      <c r="E646" s="12" t="s">
        <v>1384</v>
      </c>
      <c r="F646" s="172" t="s">
        <v>8</v>
      </c>
      <c r="G646" s="173">
        <v>50</v>
      </c>
      <c r="H646" s="124">
        <f t="shared" si="18"/>
        <v>450</v>
      </c>
      <c r="I646" s="513">
        <f>+(915+1160)/4</f>
        <v>518.75</v>
      </c>
      <c r="J646" s="517">
        <f t="shared" si="19"/>
        <v>968.75</v>
      </c>
      <c r="K646" s="264"/>
      <c r="L646" s="363"/>
    </row>
    <row r="647" spans="1:12" ht="20.25" customHeight="1" x14ac:dyDescent="0.2">
      <c r="A647" s="114">
        <v>642</v>
      </c>
      <c r="B647" s="47" t="s">
        <v>1385</v>
      </c>
      <c r="C647" s="10" t="s">
        <v>5029</v>
      </c>
      <c r="D647" s="11" t="s">
        <v>1386</v>
      </c>
      <c r="E647" s="5" t="s">
        <v>1384</v>
      </c>
      <c r="F647" s="100" t="s">
        <v>11</v>
      </c>
      <c r="G647" s="125">
        <v>100</v>
      </c>
      <c r="H647" s="122">
        <f t="shared" ref="H647:H710" si="20">500-G647</f>
        <v>400</v>
      </c>
      <c r="I647" s="520">
        <f>+(915+1160)/4</f>
        <v>518.75</v>
      </c>
      <c r="J647" s="514">
        <f t="shared" si="19"/>
        <v>918.75</v>
      </c>
      <c r="K647" s="262"/>
      <c r="L647" s="267"/>
    </row>
    <row r="648" spans="1:12" ht="20.25" customHeight="1" x14ac:dyDescent="0.2">
      <c r="A648" s="114">
        <v>643</v>
      </c>
      <c r="B648" s="47" t="s">
        <v>1387</v>
      </c>
      <c r="C648" s="10" t="s">
        <v>5508</v>
      </c>
      <c r="D648" s="11" t="s">
        <v>1388</v>
      </c>
      <c r="E648" s="5" t="s">
        <v>1384</v>
      </c>
      <c r="F648" s="100" t="s">
        <v>14</v>
      </c>
      <c r="G648" s="125">
        <v>50</v>
      </c>
      <c r="H648" s="122">
        <f t="shared" si="20"/>
        <v>450</v>
      </c>
      <c r="I648" s="520">
        <f>+(915+1160)/4</f>
        <v>518.75</v>
      </c>
      <c r="J648" s="514">
        <f t="shared" ref="J648:J711" si="21">SUM(H648:I648)</f>
        <v>968.75</v>
      </c>
      <c r="K648" s="262"/>
      <c r="L648" s="267"/>
    </row>
    <row r="649" spans="1:12" ht="20.25" customHeight="1" thickBot="1" x14ac:dyDescent="0.25">
      <c r="A649" s="117">
        <v>644</v>
      </c>
      <c r="B649" s="380" t="s">
        <v>4957</v>
      </c>
      <c r="C649" s="381" t="s">
        <v>5187</v>
      </c>
      <c r="D649" s="382" t="s">
        <v>435</v>
      </c>
      <c r="E649" s="360" t="s">
        <v>1384</v>
      </c>
      <c r="F649" s="361" t="s">
        <v>17</v>
      </c>
      <c r="G649" s="362">
        <v>50</v>
      </c>
      <c r="H649" s="157">
        <f t="shared" si="20"/>
        <v>450</v>
      </c>
      <c r="I649" s="522">
        <f>+(915+1160)/4</f>
        <v>518.75</v>
      </c>
      <c r="J649" s="519">
        <f t="shared" si="21"/>
        <v>968.75</v>
      </c>
      <c r="K649" s="268"/>
      <c r="L649" s="269"/>
    </row>
    <row r="650" spans="1:12" ht="20.25" customHeight="1" x14ac:dyDescent="0.2">
      <c r="A650" s="108">
        <v>645</v>
      </c>
      <c r="B650" s="171" t="s">
        <v>1389</v>
      </c>
      <c r="C650" s="110" t="s">
        <v>5509</v>
      </c>
      <c r="D650" s="111" t="s">
        <v>1390</v>
      </c>
      <c r="E650" s="112" t="s">
        <v>1391</v>
      </c>
      <c r="F650" s="113" t="s">
        <v>8</v>
      </c>
      <c r="G650" s="119">
        <v>50</v>
      </c>
      <c r="H650" s="120">
        <f t="shared" si="20"/>
        <v>450</v>
      </c>
      <c r="I650" s="511">
        <f>+(320+675)/4</f>
        <v>248.75</v>
      </c>
      <c r="J650" s="512">
        <f t="shared" si="21"/>
        <v>698.75</v>
      </c>
      <c r="K650" s="260"/>
      <c r="L650" s="365"/>
    </row>
    <row r="651" spans="1:12" ht="20.25" customHeight="1" x14ac:dyDescent="0.2">
      <c r="A651" s="114">
        <v>646</v>
      </c>
      <c r="B651" s="1" t="s">
        <v>1392</v>
      </c>
      <c r="C651" s="6" t="s">
        <v>5068</v>
      </c>
      <c r="D651" s="7" t="s">
        <v>1393</v>
      </c>
      <c r="E651" s="2" t="s">
        <v>1391</v>
      </c>
      <c r="F651" s="99" t="s">
        <v>11</v>
      </c>
      <c r="G651" s="121">
        <v>100</v>
      </c>
      <c r="H651" s="122">
        <f t="shared" si="20"/>
        <v>400</v>
      </c>
      <c r="I651" s="520">
        <f>+(320+675)/4</f>
        <v>248.75</v>
      </c>
      <c r="J651" s="514">
        <f t="shared" si="21"/>
        <v>648.75</v>
      </c>
      <c r="K651" s="262"/>
      <c r="L651" s="267"/>
    </row>
    <row r="652" spans="1:12" ht="20.25" customHeight="1" x14ac:dyDescent="0.2">
      <c r="A652" s="114">
        <v>647</v>
      </c>
      <c r="B652" s="1" t="s">
        <v>1394</v>
      </c>
      <c r="C652" s="6" t="s">
        <v>5510</v>
      </c>
      <c r="D652" s="7" t="s">
        <v>1395</v>
      </c>
      <c r="E652" s="2" t="s">
        <v>1391</v>
      </c>
      <c r="F652" s="99" t="s">
        <v>14</v>
      </c>
      <c r="G652" s="121">
        <v>50</v>
      </c>
      <c r="H652" s="122">
        <f t="shared" si="20"/>
        <v>450</v>
      </c>
      <c r="I652" s="520">
        <f>+(320+675)/4</f>
        <v>248.75</v>
      </c>
      <c r="J652" s="514">
        <f t="shared" si="21"/>
        <v>698.75</v>
      </c>
      <c r="K652" s="262"/>
      <c r="L652" s="267"/>
    </row>
    <row r="653" spans="1:12" ht="20.25" customHeight="1" thickBot="1" x14ac:dyDescent="0.25">
      <c r="A653" s="158">
        <v>648</v>
      </c>
      <c r="B653" s="159" t="s">
        <v>1396</v>
      </c>
      <c r="C653" s="160" t="s">
        <v>5229</v>
      </c>
      <c r="D653" s="161" t="s">
        <v>1397</v>
      </c>
      <c r="E653" s="162" t="s">
        <v>1391</v>
      </c>
      <c r="F653" s="163" t="s">
        <v>17</v>
      </c>
      <c r="G653" s="164">
        <v>100</v>
      </c>
      <c r="H653" s="153">
        <f t="shared" si="20"/>
        <v>400</v>
      </c>
      <c r="I653" s="521">
        <f>+(320+675)/4</f>
        <v>248.75</v>
      </c>
      <c r="J653" s="516">
        <f t="shared" si="21"/>
        <v>648.75</v>
      </c>
      <c r="K653" s="277"/>
      <c r="L653" s="364"/>
    </row>
    <row r="654" spans="1:12" ht="20.25" customHeight="1" x14ac:dyDescent="0.2">
      <c r="A654" s="115">
        <v>649</v>
      </c>
      <c r="B654" s="64" t="s">
        <v>1398</v>
      </c>
      <c r="C654" s="65" t="s">
        <v>5511</v>
      </c>
      <c r="D654" s="66" t="s">
        <v>1399</v>
      </c>
      <c r="E654" s="67" t="s">
        <v>1400</v>
      </c>
      <c r="F654" s="98" t="s">
        <v>8</v>
      </c>
      <c r="G654" s="123">
        <v>50</v>
      </c>
      <c r="H654" s="124">
        <f t="shared" si="20"/>
        <v>450</v>
      </c>
      <c r="I654" s="513">
        <f>+(965+1315)/4</f>
        <v>570</v>
      </c>
      <c r="J654" s="517">
        <f t="shared" si="21"/>
        <v>1020</v>
      </c>
      <c r="K654" s="264"/>
      <c r="L654" s="363"/>
    </row>
    <row r="655" spans="1:12" ht="20.25" customHeight="1" x14ac:dyDescent="0.2">
      <c r="A655" s="114">
        <v>650</v>
      </c>
      <c r="B655" s="1" t="s">
        <v>1401</v>
      </c>
      <c r="C655" s="6" t="s">
        <v>5512</v>
      </c>
      <c r="D655" s="7" t="s">
        <v>1402</v>
      </c>
      <c r="E655" s="2" t="s">
        <v>1400</v>
      </c>
      <c r="F655" s="99" t="s">
        <v>11</v>
      </c>
      <c r="G655" s="121">
        <v>50</v>
      </c>
      <c r="H655" s="122">
        <f t="shared" si="20"/>
        <v>450</v>
      </c>
      <c r="I655" s="520">
        <f>+(965+1315)/4</f>
        <v>570</v>
      </c>
      <c r="J655" s="514">
        <f t="shared" si="21"/>
        <v>1020</v>
      </c>
      <c r="K655" s="262"/>
      <c r="L655" s="267"/>
    </row>
    <row r="656" spans="1:12" ht="20.25" customHeight="1" x14ac:dyDescent="0.2">
      <c r="A656" s="114">
        <v>651</v>
      </c>
      <c r="B656" s="1" t="s">
        <v>1403</v>
      </c>
      <c r="C656" s="6" t="s">
        <v>5513</v>
      </c>
      <c r="D656" s="7" t="s">
        <v>1404</v>
      </c>
      <c r="E656" s="2" t="s">
        <v>1400</v>
      </c>
      <c r="F656" s="99" t="s">
        <v>14</v>
      </c>
      <c r="G656" s="121">
        <v>50</v>
      </c>
      <c r="H656" s="122">
        <f t="shared" si="20"/>
        <v>450</v>
      </c>
      <c r="I656" s="520">
        <f>+(965+1315)/4</f>
        <v>570</v>
      </c>
      <c r="J656" s="514">
        <f t="shared" si="21"/>
        <v>1020</v>
      </c>
      <c r="K656" s="262"/>
      <c r="L656" s="267"/>
    </row>
    <row r="657" spans="1:36" ht="20.25" customHeight="1" thickBot="1" x14ac:dyDescent="0.25">
      <c r="A657" s="117">
        <v>652</v>
      </c>
      <c r="B657" s="3" t="s">
        <v>1405</v>
      </c>
      <c r="C657" s="8" t="s">
        <v>5122</v>
      </c>
      <c r="D657" s="9" t="s">
        <v>1406</v>
      </c>
      <c r="E657" s="4" t="s">
        <v>1400</v>
      </c>
      <c r="F657" s="101" t="s">
        <v>17</v>
      </c>
      <c r="G657" s="128">
        <v>50</v>
      </c>
      <c r="H657" s="157">
        <f t="shared" si="20"/>
        <v>450</v>
      </c>
      <c r="I657" s="522">
        <f>+(965+1315)/4</f>
        <v>570</v>
      </c>
      <c r="J657" s="519">
        <f t="shared" si="21"/>
        <v>1020</v>
      </c>
      <c r="K657" s="268"/>
      <c r="L657" s="269"/>
    </row>
    <row r="658" spans="1:36" ht="20.25" customHeight="1" x14ac:dyDescent="0.2">
      <c r="A658" s="108">
        <v>653</v>
      </c>
      <c r="B658" s="171" t="s">
        <v>1407</v>
      </c>
      <c r="C658" s="110" t="s">
        <v>5122</v>
      </c>
      <c r="D658" s="111" t="s">
        <v>1408</v>
      </c>
      <c r="E658" s="112" t="s">
        <v>1409</v>
      </c>
      <c r="F658" s="113" t="s">
        <v>8</v>
      </c>
      <c r="G658" s="119">
        <v>50</v>
      </c>
      <c r="H658" s="120">
        <f t="shared" si="20"/>
        <v>450</v>
      </c>
      <c r="I658" s="511">
        <f>+(875+1875)/4</f>
        <v>687.5</v>
      </c>
      <c r="J658" s="512">
        <f t="shared" si="21"/>
        <v>1137.5</v>
      </c>
      <c r="K658" s="260"/>
      <c r="L658" s="365"/>
    </row>
    <row r="659" spans="1:36" ht="20.25" customHeight="1" x14ac:dyDescent="0.2">
      <c r="A659" s="114">
        <v>654</v>
      </c>
      <c r="B659" s="1" t="s">
        <v>1410</v>
      </c>
      <c r="C659" s="6" t="s">
        <v>5514</v>
      </c>
      <c r="D659" s="7" t="s">
        <v>1411</v>
      </c>
      <c r="E659" s="2" t="s">
        <v>1409</v>
      </c>
      <c r="F659" s="99" t="s">
        <v>11</v>
      </c>
      <c r="G659" s="121">
        <v>50</v>
      </c>
      <c r="H659" s="122">
        <f t="shared" si="20"/>
        <v>450</v>
      </c>
      <c r="I659" s="520">
        <f>+(875+1875)/4</f>
        <v>687.5</v>
      </c>
      <c r="J659" s="514">
        <f t="shared" si="21"/>
        <v>1137.5</v>
      </c>
      <c r="K659" s="262"/>
      <c r="L659" s="267"/>
    </row>
    <row r="660" spans="1:36" ht="20.25" customHeight="1" x14ac:dyDescent="0.2">
      <c r="A660" s="114">
        <v>655</v>
      </c>
      <c r="B660" s="1" t="s">
        <v>1412</v>
      </c>
      <c r="C660" s="6" t="s">
        <v>5515</v>
      </c>
      <c r="D660" s="7" t="s">
        <v>1413</v>
      </c>
      <c r="E660" s="2" t="s">
        <v>1409</v>
      </c>
      <c r="F660" s="99" t="s">
        <v>14</v>
      </c>
      <c r="G660" s="121">
        <v>50</v>
      </c>
      <c r="H660" s="122">
        <f t="shared" si="20"/>
        <v>450</v>
      </c>
      <c r="I660" s="520">
        <f>+(875+1875)/4</f>
        <v>687.5</v>
      </c>
      <c r="J660" s="514">
        <f t="shared" si="21"/>
        <v>1137.5</v>
      </c>
      <c r="K660" s="262"/>
      <c r="L660" s="267"/>
    </row>
    <row r="661" spans="1:36" ht="20.25" customHeight="1" thickBot="1" x14ac:dyDescent="0.25">
      <c r="A661" s="158">
        <v>656</v>
      </c>
      <c r="B661" s="159" t="s">
        <v>1414</v>
      </c>
      <c r="C661" s="160" t="s">
        <v>5516</v>
      </c>
      <c r="D661" s="161" t="s">
        <v>1415</v>
      </c>
      <c r="E661" s="162" t="s">
        <v>1409</v>
      </c>
      <c r="F661" s="163" t="s">
        <v>17</v>
      </c>
      <c r="G661" s="164">
        <v>100</v>
      </c>
      <c r="H661" s="153">
        <f t="shared" si="20"/>
        <v>400</v>
      </c>
      <c r="I661" s="521">
        <f>+(875+1875)/4</f>
        <v>687.5</v>
      </c>
      <c r="J661" s="516">
        <f t="shared" si="21"/>
        <v>1087.5</v>
      </c>
      <c r="K661" s="277"/>
      <c r="L661" s="364"/>
    </row>
    <row r="662" spans="1:36" ht="20.25" customHeight="1" x14ac:dyDescent="0.2">
      <c r="A662" s="115">
        <v>657</v>
      </c>
      <c r="B662" s="64" t="s">
        <v>1416</v>
      </c>
      <c r="C662" s="65" t="s">
        <v>5369</v>
      </c>
      <c r="D662" s="66" t="s">
        <v>1417</v>
      </c>
      <c r="E662" s="67" t="s">
        <v>1418</v>
      </c>
      <c r="F662" s="98" t="s">
        <v>8</v>
      </c>
      <c r="G662" s="123">
        <v>100</v>
      </c>
      <c r="H662" s="124">
        <f t="shared" si="20"/>
        <v>400</v>
      </c>
      <c r="I662" s="513">
        <f>+(670+940)/4</f>
        <v>402.5</v>
      </c>
      <c r="J662" s="517">
        <f t="shared" si="21"/>
        <v>802.5</v>
      </c>
      <c r="K662" s="264"/>
      <c r="L662" s="363"/>
    </row>
    <row r="663" spans="1:36" ht="20.25" customHeight="1" x14ac:dyDescent="0.2">
      <c r="A663" s="114">
        <v>658</v>
      </c>
      <c r="B663" s="1" t="s">
        <v>1419</v>
      </c>
      <c r="C663" s="6" t="s">
        <v>5517</v>
      </c>
      <c r="D663" s="7" t="s">
        <v>1420</v>
      </c>
      <c r="E663" s="2" t="s">
        <v>1418</v>
      </c>
      <c r="F663" s="99" t="s">
        <v>11</v>
      </c>
      <c r="G663" s="121">
        <v>100</v>
      </c>
      <c r="H663" s="122">
        <f t="shared" si="20"/>
        <v>400</v>
      </c>
      <c r="I663" s="520">
        <f>+(670+940)/4</f>
        <v>402.5</v>
      </c>
      <c r="J663" s="514">
        <f t="shared" si="21"/>
        <v>802.5</v>
      </c>
      <c r="K663" s="262"/>
      <c r="L663" s="267"/>
    </row>
    <row r="664" spans="1:36" ht="20.25" customHeight="1" x14ac:dyDescent="0.2">
      <c r="A664" s="114">
        <v>659</v>
      </c>
      <c r="B664" s="1" t="s">
        <v>1421</v>
      </c>
      <c r="C664" s="6" t="s">
        <v>5518</v>
      </c>
      <c r="D664" s="7" t="s">
        <v>1422</v>
      </c>
      <c r="E664" s="2" t="s">
        <v>1418</v>
      </c>
      <c r="F664" s="99" t="s">
        <v>14</v>
      </c>
      <c r="G664" s="121">
        <v>100</v>
      </c>
      <c r="H664" s="122">
        <f t="shared" si="20"/>
        <v>400</v>
      </c>
      <c r="I664" s="520">
        <f>+(670+940)/4</f>
        <v>402.5</v>
      </c>
      <c r="J664" s="514">
        <f t="shared" si="21"/>
        <v>802.5</v>
      </c>
      <c r="K664" s="262"/>
      <c r="L664" s="267"/>
    </row>
    <row r="665" spans="1:36" ht="20.25" customHeight="1" thickBot="1" x14ac:dyDescent="0.25">
      <c r="A665" s="117">
        <v>660</v>
      </c>
      <c r="B665" s="3" t="s">
        <v>1423</v>
      </c>
      <c r="C665" s="8" t="s">
        <v>5519</v>
      </c>
      <c r="D665" s="9" t="s">
        <v>1424</v>
      </c>
      <c r="E665" s="4" t="s">
        <v>1418</v>
      </c>
      <c r="F665" s="101" t="s">
        <v>17</v>
      </c>
      <c r="G665" s="128">
        <v>50</v>
      </c>
      <c r="H665" s="157">
        <f t="shared" si="20"/>
        <v>450</v>
      </c>
      <c r="I665" s="522">
        <f>+(670+940)/4</f>
        <v>402.5</v>
      </c>
      <c r="J665" s="519">
        <f t="shared" si="21"/>
        <v>852.5</v>
      </c>
      <c r="K665" s="268"/>
      <c r="L665" s="269"/>
    </row>
    <row r="666" spans="1:36" ht="20.25" customHeight="1" x14ac:dyDescent="0.2">
      <c r="A666" s="108">
        <v>661</v>
      </c>
      <c r="B666" s="171" t="s">
        <v>1425</v>
      </c>
      <c r="C666" s="110" t="s">
        <v>5258</v>
      </c>
      <c r="D666" s="111" t="s">
        <v>1426</v>
      </c>
      <c r="E666" s="112" t="s">
        <v>1427</v>
      </c>
      <c r="F666" s="113" t="s">
        <v>8</v>
      </c>
      <c r="G666" s="119">
        <v>50</v>
      </c>
      <c r="H666" s="120">
        <f t="shared" si="20"/>
        <v>450</v>
      </c>
      <c r="I666" s="511">
        <f>+(520+800)/4</f>
        <v>330</v>
      </c>
      <c r="J666" s="512">
        <f t="shared" si="21"/>
        <v>780</v>
      </c>
      <c r="K666" s="260"/>
      <c r="L666" s="365"/>
    </row>
    <row r="667" spans="1:36" ht="20.25" customHeight="1" x14ac:dyDescent="0.2">
      <c r="A667" s="114">
        <v>662</v>
      </c>
      <c r="B667" s="1" t="s">
        <v>1428</v>
      </c>
      <c r="C667" s="6" t="s">
        <v>5520</v>
      </c>
      <c r="D667" s="7" t="s">
        <v>1429</v>
      </c>
      <c r="E667" s="2" t="s">
        <v>1427</v>
      </c>
      <c r="F667" s="99" t="s">
        <v>11</v>
      </c>
      <c r="G667" s="121">
        <v>50</v>
      </c>
      <c r="H667" s="122">
        <f t="shared" si="20"/>
        <v>450</v>
      </c>
      <c r="I667" s="520">
        <f>+(520+800)/4</f>
        <v>330</v>
      </c>
      <c r="J667" s="514">
        <f t="shared" si="21"/>
        <v>780</v>
      </c>
      <c r="K667" s="262"/>
      <c r="L667" s="267"/>
    </row>
    <row r="668" spans="1:36" ht="20.25" customHeight="1" x14ac:dyDescent="0.2">
      <c r="A668" s="114">
        <v>663</v>
      </c>
      <c r="B668" s="1" t="s">
        <v>1430</v>
      </c>
      <c r="C668" s="6" t="s">
        <v>5521</v>
      </c>
      <c r="D668" s="7" t="s">
        <v>1431</v>
      </c>
      <c r="E668" s="2" t="s">
        <v>1427</v>
      </c>
      <c r="F668" s="99" t="s">
        <v>14</v>
      </c>
      <c r="G668" s="121">
        <v>100</v>
      </c>
      <c r="H668" s="122">
        <f t="shared" si="20"/>
        <v>400</v>
      </c>
      <c r="I668" s="520">
        <f>+(520+800)/4</f>
        <v>330</v>
      </c>
      <c r="J668" s="514">
        <f t="shared" si="21"/>
        <v>730</v>
      </c>
      <c r="K668" s="262"/>
      <c r="L668" s="267"/>
    </row>
    <row r="669" spans="1:36" ht="20.25" customHeight="1" thickBot="1" x14ac:dyDescent="0.25">
      <c r="A669" s="158">
        <v>664</v>
      </c>
      <c r="B669" s="159" t="s">
        <v>1432</v>
      </c>
      <c r="C669" s="160" t="s">
        <v>5522</v>
      </c>
      <c r="D669" s="161" t="s">
        <v>1433</v>
      </c>
      <c r="E669" s="162" t="s">
        <v>1427</v>
      </c>
      <c r="F669" s="163" t="s">
        <v>17</v>
      </c>
      <c r="G669" s="164">
        <v>50</v>
      </c>
      <c r="H669" s="153">
        <f t="shared" si="20"/>
        <v>450</v>
      </c>
      <c r="I669" s="521">
        <f>+(520+800)/4</f>
        <v>330</v>
      </c>
      <c r="J669" s="516">
        <f t="shared" si="21"/>
        <v>780</v>
      </c>
      <c r="K669" s="277"/>
      <c r="L669" s="364"/>
    </row>
    <row r="670" spans="1:36" ht="20.25" customHeight="1" x14ac:dyDescent="0.2">
      <c r="A670" s="115">
        <v>665</v>
      </c>
      <c r="B670" s="61" t="s">
        <v>1434</v>
      </c>
      <c r="C670" s="62" t="s">
        <v>5523</v>
      </c>
      <c r="D670" s="63" t="s">
        <v>1435</v>
      </c>
      <c r="E670" s="12" t="s">
        <v>1436</v>
      </c>
      <c r="F670" s="172" t="s">
        <v>8</v>
      </c>
      <c r="G670" s="173">
        <v>50</v>
      </c>
      <c r="H670" s="124">
        <f t="shared" si="20"/>
        <v>450</v>
      </c>
      <c r="I670" s="513">
        <f>+(1060+965)/4</f>
        <v>506.25</v>
      </c>
      <c r="J670" s="517">
        <f t="shared" si="21"/>
        <v>956.25</v>
      </c>
      <c r="K670" s="264"/>
      <c r="L670" s="363"/>
    </row>
    <row r="671" spans="1:36" s="37" customFormat="1" ht="20.25" customHeight="1" x14ac:dyDescent="0.3">
      <c r="A671" s="116">
        <v>666</v>
      </c>
      <c r="B671" s="48" t="s">
        <v>4958</v>
      </c>
      <c r="C671" s="40" t="s">
        <v>5524</v>
      </c>
      <c r="D671" s="41" t="s">
        <v>1160</v>
      </c>
      <c r="E671" s="36" t="s">
        <v>1436</v>
      </c>
      <c r="F671" s="105">
        <v>2</v>
      </c>
      <c r="G671" s="137">
        <v>50</v>
      </c>
      <c r="H671" s="127">
        <f t="shared" si="20"/>
        <v>450</v>
      </c>
      <c r="I671" s="523">
        <f>+(1060+965)/4</f>
        <v>506.25</v>
      </c>
      <c r="J671" s="524">
        <f t="shared" si="21"/>
        <v>956.25</v>
      </c>
      <c r="K671" s="266" t="s">
        <v>4996</v>
      </c>
      <c r="L671" s="267">
        <v>5500</v>
      </c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</row>
    <row r="672" spans="1:36" ht="20.25" customHeight="1" x14ac:dyDescent="0.3">
      <c r="A672" s="114">
        <v>667</v>
      </c>
      <c r="B672" s="47" t="s">
        <v>4959</v>
      </c>
      <c r="C672" s="22" t="s">
        <v>5525</v>
      </c>
      <c r="D672" s="23" t="s">
        <v>4877</v>
      </c>
      <c r="E672" s="5" t="s">
        <v>1439</v>
      </c>
      <c r="F672" s="100">
        <v>3</v>
      </c>
      <c r="G672" s="125">
        <v>50</v>
      </c>
      <c r="H672" s="122">
        <f t="shared" si="20"/>
        <v>450</v>
      </c>
      <c r="I672" s="520">
        <f>+(1060+965)/4</f>
        <v>506.25</v>
      </c>
      <c r="J672" s="514">
        <f t="shared" si="21"/>
        <v>956.25</v>
      </c>
      <c r="K672" s="262"/>
      <c r="L672" s="267"/>
    </row>
    <row r="673" spans="1:12" ht="20.25" customHeight="1" thickBot="1" x14ac:dyDescent="0.35">
      <c r="A673" s="117">
        <v>668</v>
      </c>
      <c r="B673" s="380" t="s">
        <v>4960</v>
      </c>
      <c r="C673" s="417" t="s">
        <v>5526</v>
      </c>
      <c r="D673" s="418" t="s">
        <v>4878</v>
      </c>
      <c r="E673" s="360" t="s">
        <v>1448</v>
      </c>
      <c r="F673" s="361">
        <v>4</v>
      </c>
      <c r="G673" s="362">
        <v>50</v>
      </c>
      <c r="H673" s="157">
        <f t="shared" si="20"/>
        <v>450</v>
      </c>
      <c r="I673" s="522">
        <f>+(1060+965)/4</f>
        <v>506.25</v>
      </c>
      <c r="J673" s="519">
        <f t="shared" si="21"/>
        <v>956.25</v>
      </c>
      <c r="K673" s="268"/>
      <c r="L673" s="269"/>
    </row>
    <row r="674" spans="1:12" ht="20.25" customHeight="1" x14ac:dyDescent="0.2">
      <c r="A674" s="108">
        <v>669</v>
      </c>
      <c r="B674" s="174" t="s">
        <v>1437</v>
      </c>
      <c r="C674" s="175" t="s">
        <v>5527</v>
      </c>
      <c r="D674" s="176" t="s">
        <v>1438</v>
      </c>
      <c r="E674" s="177" t="s">
        <v>1439</v>
      </c>
      <c r="F674" s="178" t="s">
        <v>8</v>
      </c>
      <c r="G674" s="179">
        <v>50</v>
      </c>
      <c r="H674" s="120">
        <f t="shared" si="20"/>
        <v>450</v>
      </c>
      <c r="I674" s="511">
        <f>+(520+690)/4</f>
        <v>302.5</v>
      </c>
      <c r="J674" s="512">
        <f t="shared" si="21"/>
        <v>752.5</v>
      </c>
      <c r="K674" s="260"/>
      <c r="L674" s="365"/>
    </row>
    <row r="675" spans="1:12" ht="20.25" customHeight="1" x14ac:dyDescent="0.2">
      <c r="A675" s="114">
        <v>670</v>
      </c>
      <c r="B675" s="1" t="s">
        <v>1440</v>
      </c>
      <c r="C675" s="6" t="s">
        <v>5528</v>
      </c>
      <c r="D675" s="7" t="s">
        <v>1441</v>
      </c>
      <c r="E675" s="2" t="s">
        <v>1439</v>
      </c>
      <c r="F675" s="99" t="s">
        <v>11</v>
      </c>
      <c r="G675" s="121">
        <v>50</v>
      </c>
      <c r="H675" s="122">
        <f t="shared" si="20"/>
        <v>450</v>
      </c>
      <c r="I675" s="520">
        <f>+(520+690)/4</f>
        <v>302.5</v>
      </c>
      <c r="J675" s="514">
        <f t="shared" si="21"/>
        <v>752.5</v>
      </c>
      <c r="K675" s="262"/>
      <c r="L675" s="267"/>
    </row>
    <row r="676" spans="1:12" ht="20.25" customHeight="1" x14ac:dyDescent="0.2">
      <c r="A676" s="114">
        <v>671</v>
      </c>
      <c r="B676" s="1" t="s">
        <v>1442</v>
      </c>
      <c r="C676" s="6" t="s">
        <v>5529</v>
      </c>
      <c r="D676" s="7" t="s">
        <v>1443</v>
      </c>
      <c r="E676" s="2" t="s">
        <v>1439</v>
      </c>
      <c r="F676" s="99" t="s">
        <v>14</v>
      </c>
      <c r="G676" s="121">
        <v>50</v>
      </c>
      <c r="H676" s="122">
        <f t="shared" si="20"/>
        <v>450</v>
      </c>
      <c r="I676" s="520">
        <f>+(520+690)/4</f>
        <v>302.5</v>
      </c>
      <c r="J676" s="514">
        <f t="shared" si="21"/>
        <v>752.5</v>
      </c>
      <c r="K676" s="262"/>
      <c r="L676" s="267"/>
    </row>
    <row r="677" spans="1:12" ht="20.25" customHeight="1" thickBot="1" x14ac:dyDescent="0.25">
      <c r="A677" s="158">
        <v>672</v>
      </c>
      <c r="B677" s="159" t="s">
        <v>1444</v>
      </c>
      <c r="C677" s="160" t="s">
        <v>5018</v>
      </c>
      <c r="D677" s="161" t="s">
        <v>1445</v>
      </c>
      <c r="E677" s="162" t="s">
        <v>1439</v>
      </c>
      <c r="F677" s="163" t="s">
        <v>17</v>
      </c>
      <c r="G677" s="164">
        <v>50</v>
      </c>
      <c r="H677" s="153">
        <f t="shared" si="20"/>
        <v>450</v>
      </c>
      <c r="I677" s="521">
        <f>+(520+690)/4</f>
        <v>302.5</v>
      </c>
      <c r="J677" s="516">
        <f t="shared" si="21"/>
        <v>752.5</v>
      </c>
      <c r="K677" s="277"/>
      <c r="L677" s="364"/>
    </row>
    <row r="678" spans="1:12" ht="20.25" customHeight="1" x14ac:dyDescent="0.2">
      <c r="A678" s="115">
        <v>673</v>
      </c>
      <c r="B678" s="61"/>
      <c r="C678" s="62" t="s">
        <v>5122</v>
      </c>
      <c r="D678" s="63" t="s">
        <v>4879</v>
      </c>
      <c r="E678" s="12" t="s">
        <v>1448</v>
      </c>
      <c r="F678" s="172" t="s">
        <v>8</v>
      </c>
      <c r="G678" s="173">
        <v>50</v>
      </c>
      <c r="H678" s="124">
        <f t="shared" si="20"/>
        <v>450</v>
      </c>
      <c r="I678" s="513">
        <f>+(525+970)/4</f>
        <v>373.75</v>
      </c>
      <c r="J678" s="517">
        <f t="shared" si="21"/>
        <v>823.75</v>
      </c>
      <c r="K678" s="264"/>
      <c r="L678" s="363"/>
    </row>
    <row r="679" spans="1:12" ht="20.25" customHeight="1" x14ac:dyDescent="0.2">
      <c r="A679" s="114">
        <v>674</v>
      </c>
      <c r="B679" s="47" t="s">
        <v>1446</v>
      </c>
      <c r="C679" s="10" t="s">
        <v>5102</v>
      </c>
      <c r="D679" s="11" t="s">
        <v>1447</v>
      </c>
      <c r="E679" s="5" t="s">
        <v>1448</v>
      </c>
      <c r="F679" s="100" t="s">
        <v>11</v>
      </c>
      <c r="G679" s="125">
        <v>50</v>
      </c>
      <c r="H679" s="122">
        <f t="shared" si="20"/>
        <v>450</v>
      </c>
      <c r="I679" s="520">
        <f>+(525+970)/4</f>
        <v>373.75</v>
      </c>
      <c r="J679" s="514">
        <f t="shared" si="21"/>
        <v>823.75</v>
      </c>
      <c r="K679" s="262"/>
      <c r="L679" s="267"/>
    </row>
    <row r="680" spans="1:12" ht="20.25" customHeight="1" x14ac:dyDescent="0.2">
      <c r="A680" s="114">
        <v>675</v>
      </c>
      <c r="B680" s="47" t="s">
        <v>1449</v>
      </c>
      <c r="C680" s="10" t="s">
        <v>5530</v>
      </c>
      <c r="D680" s="11" t="s">
        <v>1450</v>
      </c>
      <c r="E680" s="5" t="s">
        <v>1448</v>
      </c>
      <c r="F680" s="100" t="s">
        <v>14</v>
      </c>
      <c r="G680" s="125">
        <v>50</v>
      </c>
      <c r="H680" s="122">
        <f t="shared" si="20"/>
        <v>450</v>
      </c>
      <c r="I680" s="520">
        <f>+(525+970)/4</f>
        <v>373.75</v>
      </c>
      <c r="J680" s="514">
        <f t="shared" si="21"/>
        <v>823.75</v>
      </c>
      <c r="K680" s="262"/>
      <c r="L680" s="267"/>
    </row>
    <row r="681" spans="1:12" ht="20.25" customHeight="1" thickBot="1" x14ac:dyDescent="0.25">
      <c r="A681" s="117">
        <v>676</v>
      </c>
      <c r="B681" s="357" t="s">
        <v>1451</v>
      </c>
      <c r="C681" s="358" t="s">
        <v>5049</v>
      </c>
      <c r="D681" s="359" t="s">
        <v>1452</v>
      </c>
      <c r="E681" s="360" t="s">
        <v>1448</v>
      </c>
      <c r="F681" s="361" t="s">
        <v>17</v>
      </c>
      <c r="G681" s="362">
        <v>50</v>
      </c>
      <c r="H681" s="157">
        <f t="shared" si="20"/>
        <v>450</v>
      </c>
      <c r="I681" s="522">
        <f>+(525+970)/4</f>
        <v>373.75</v>
      </c>
      <c r="J681" s="519">
        <f t="shared" si="21"/>
        <v>823.75</v>
      </c>
      <c r="K681" s="268"/>
      <c r="L681" s="269"/>
    </row>
    <row r="682" spans="1:12" ht="20.25" customHeight="1" x14ac:dyDescent="0.2">
      <c r="A682" s="108">
        <v>677</v>
      </c>
      <c r="B682" s="171" t="s">
        <v>1453</v>
      </c>
      <c r="C682" s="110" t="s">
        <v>5531</v>
      </c>
      <c r="D682" s="111" t="s">
        <v>1454</v>
      </c>
      <c r="E682" s="112" t="s">
        <v>1455</v>
      </c>
      <c r="F682" s="113" t="s">
        <v>8</v>
      </c>
      <c r="G682" s="119">
        <v>50</v>
      </c>
      <c r="H682" s="120">
        <f t="shared" si="20"/>
        <v>450</v>
      </c>
      <c r="I682" s="511">
        <f>+(820+1215)/4</f>
        <v>508.75</v>
      </c>
      <c r="J682" s="512">
        <f t="shared" si="21"/>
        <v>958.75</v>
      </c>
      <c r="K682" s="260"/>
      <c r="L682" s="365"/>
    </row>
    <row r="683" spans="1:12" ht="20.25" customHeight="1" x14ac:dyDescent="0.2">
      <c r="A683" s="114">
        <v>678</v>
      </c>
      <c r="B683" s="1" t="s">
        <v>1456</v>
      </c>
      <c r="C683" s="6" t="s">
        <v>5532</v>
      </c>
      <c r="D683" s="7" t="s">
        <v>1457</v>
      </c>
      <c r="E683" s="2" t="s">
        <v>1455</v>
      </c>
      <c r="F683" s="99" t="s">
        <v>11</v>
      </c>
      <c r="G683" s="121">
        <v>100</v>
      </c>
      <c r="H683" s="122">
        <f t="shared" si="20"/>
        <v>400</v>
      </c>
      <c r="I683" s="520">
        <f>+(820+1215)/4</f>
        <v>508.75</v>
      </c>
      <c r="J683" s="514">
        <f t="shared" si="21"/>
        <v>908.75</v>
      </c>
      <c r="K683" s="262"/>
      <c r="L683" s="267"/>
    </row>
    <row r="684" spans="1:12" ht="20.25" customHeight="1" x14ac:dyDescent="0.2">
      <c r="A684" s="114">
        <v>679</v>
      </c>
      <c r="B684" s="1" t="s">
        <v>1458</v>
      </c>
      <c r="C684" s="6" t="s">
        <v>5012</v>
      </c>
      <c r="D684" s="7" t="s">
        <v>1459</v>
      </c>
      <c r="E684" s="2" t="s">
        <v>1455</v>
      </c>
      <c r="F684" s="99" t="s">
        <v>14</v>
      </c>
      <c r="G684" s="121">
        <v>100</v>
      </c>
      <c r="H684" s="122">
        <f t="shared" si="20"/>
        <v>400</v>
      </c>
      <c r="I684" s="520">
        <f>+(820+1215)/4</f>
        <v>508.75</v>
      </c>
      <c r="J684" s="514">
        <f t="shared" si="21"/>
        <v>908.75</v>
      </c>
      <c r="K684" s="262"/>
      <c r="L684" s="267"/>
    </row>
    <row r="685" spans="1:12" ht="20.25" customHeight="1" thickBot="1" x14ac:dyDescent="0.25">
      <c r="A685" s="158">
        <v>680</v>
      </c>
      <c r="B685" s="159" t="s">
        <v>1460</v>
      </c>
      <c r="C685" s="160" t="s">
        <v>5144</v>
      </c>
      <c r="D685" s="161" t="s">
        <v>1461</v>
      </c>
      <c r="E685" s="162" t="s">
        <v>1455</v>
      </c>
      <c r="F685" s="163" t="s">
        <v>17</v>
      </c>
      <c r="G685" s="164">
        <v>50</v>
      </c>
      <c r="H685" s="153">
        <f t="shared" si="20"/>
        <v>450</v>
      </c>
      <c r="I685" s="521">
        <f>+(820+1215)/4</f>
        <v>508.75</v>
      </c>
      <c r="J685" s="516">
        <f t="shared" si="21"/>
        <v>958.75</v>
      </c>
      <c r="K685" s="277"/>
      <c r="L685" s="364"/>
    </row>
    <row r="686" spans="1:12" ht="20.25" customHeight="1" x14ac:dyDescent="0.2">
      <c r="A686" s="115">
        <v>681</v>
      </c>
      <c r="B686" s="64" t="s">
        <v>1462</v>
      </c>
      <c r="C686" s="65" t="s">
        <v>5058</v>
      </c>
      <c r="D686" s="66" t="s">
        <v>118</v>
      </c>
      <c r="E686" s="67" t="s">
        <v>1463</v>
      </c>
      <c r="F686" s="98" t="s">
        <v>8</v>
      </c>
      <c r="G686" s="123">
        <v>150</v>
      </c>
      <c r="H686" s="124">
        <f t="shared" si="20"/>
        <v>350</v>
      </c>
      <c r="I686" s="513">
        <f>+(895+1190)/4</f>
        <v>521.25</v>
      </c>
      <c r="J686" s="517">
        <f t="shared" si="21"/>
        <v>871.25</v>
      </c>
      <c r="K686" s="264"/>
      <c r="L686" s="363"/>
    </row>
    <row r="687" spans="1:12" ht="20.25" customHeight="1" x14ac:dyDescent="0.2">
      <c r="A687" s="114">
        <v>682</v>
      </c>
      <c r="B687" s="1" t="s">
        <v>1464</v>
      </c>
      <c r="C687" s="6" t="s">
        <v>5533</v>
      </c>
      <c r="D687" s="7" t="s">
        <v>1465</v>
      </c>
      <c r="E687" s="2" t="s">
        <v>1463</v>
      </c>
      <c r="F687" s="99" t="s">
        <v>11</v>
      </c>
      <c r="G687" s="121">
        <v>50</v>
      </c>
      <c r="H687" s="122">
        <f t="shared" si="20"/>
        <v>450</v>
      </c>
      <c r="I687" s="520">
        <f>+(895+1190)/4</f>
        <v>521.25</v>
      </c>
      <c r="J687" s="514">
        <f t="shared" si="21"/>
        <v>971.25</v>
      </c>
      <c r="K687" s="262"/>
      <c r="L687" s="267"/>
    </row>
    <row r="688" spans="1:12" ht="20.25" customHeight="1" x14ac:dyDescent="0.2">
      <c r="A688" s="114">
        <v>683</v>
      </c>
      <c r="B688" s="1" t="s">
        <v>1466</v>
      </c>
      <c r="C688" s="6" t="s">
        <v>5534</v>
      </c>
      <c r="D688" s="7" t="s">
        <v>1467</v>
      </c>
      <c r="E688" s="2" t="s">
        <v>1463</v>
      </c>
      <c r="F688" s="99" t="s">
        <v>14</v>
      </c>
      <c r="G688" s="121">
        <v>50</v>
      </c>
      <c r="H688" s="122">
        <f t="shared" si="20"/>
        <v>450</v>
      </c>
      <c r="I688" s="520">
        <f>+(895+1190)/4</f>
        <v>521.25</v>
      </c>
      <c r="J688" s="514">
        <f t="shared" si="21"/>
        <v>971.25</v>
      </c>
      <c r="K688" s="262"/>
      <c r="L688" s="267"/>
    </row>
    <row r="689" spans="1:36" ht="20.25" customHeight="1" thickBot="1" x14ac:dyDescent="0.25">
      <c r="A689" s="117">
        <v>684</v>
      </c>
      <c r="B689" s="3" t="s">
        <v>1468</v>
      </c>
      <c r="C689" s="8" t="s">
        <v>5535</v>
      </c>
      <c r="D689" s="9" t="s">
        <v>1469</v>
      </c>
      <c r="E689" s="4" t="s">
        <v>1463</v>
      </c>
      <c r="F689" s="101" t="s">
        <v>17</v>
      </c>
      <c r="G689" s="128">
        <v>50</v>
      </c>
      <c r="H689" s="157">
        <f t="shared" si="20"/>
        <v>450</v>
      </c>
      <c r="I689" s="522">
        <f>+(895+1190)/4</f>
        <v>521.25</v>
      </c>
      <c r="J689" s="519">
        <f t="shared" si="21"/>
        <v>971.25</v>
      </c>
      <c r="K689" s="268"/>
      <c r="L689" s="269"/>
    </row>
    <row r="690" spans="1:36" ht="20.25" customHeight="1" x14ac:dyDescent="0.2">
      <c r="A690" s="108">
        <v>685</v>
      </c>
      <c r="B690" s="171" t="s">
        <v>1470</v>
      </c>
      <c r="C690" s="110" t="s">
        <v>5149</v>
      </c>
      <c r="D690" s="111" t="s">
        <v>1471</v>
      </c>
      <c r="E690" s="112" t="s">
        <v>1472</v>
      </c>
      <c r="F690" s="113" t="s">
        <v>8</v>
      </c>
      <c r="G690" s="119">
        <v>100</v>
      </c>
      <c r="H690" s="120">
        <f t="shared" si="20"/>
        <v>400</v>
      </c>
      <c r="I690" s="511">
        <f>+(450+1190)/4</f>
        <v>410</v>
      </c>
      <c r="J690" s="512">
        <f t="shared" si="21"/>
        <v>810</v>
      </c>
      <c r="K690" s="260"/>
      <c r="L690" s="365"/>
    </row>
    <row r="691" spans="1:36" ht="20.25" customHeight="1" x14ac:dyDescent="0.2">
      <c r="A691" s="114">
        <v>686</v>
      </c>
      <c r="B691" s="1" t="s">
        <v>1473</v>
      </c>
      <c r="C691" s="6" t="s">
        <v>5508</v>
      </c>
      <c r="D691" s="7" t="s">
        <v>1474</v>
      </c>
      <c r="E691" s="2" t="s">
        <v>1472</v>
      </c>
      <c r="F691" s="99" t="s">
        <v>11</v>
      </c>
      <c r="G691" s="121">
        <v>100</v>
      </c>
      <c r="H691" s="122">
        <f t="shared" si="20"/>
        <v>400</v>
      </c>
      <c r="I691" s="520">
        <f>+(450+1190)/4</f>
        <v>410</v>
      </c>
      <c r="J691" s="514">
        <f t="shared" si="21"/>
        <v>810</v>
      </c>
      <c r="K691" s="262"/>
      <c r="L691" s="267"/>
    </row>
    <row r="692" spans="1:36" s="37" customFormat="1" ht="20.25" customHeight="1" x14ac:dyDescent="0.2">
      <c r="A692" s="116">
        <v>687</v>
      </c>
      <c r="B692" s="46" t="s">
        <v>1475</v>
      </c>
      <c r="C692" s="29" t="s">
        <v>5296</v>
      </c>
      <c r="D692" s="28" t="s">
        <v>1476</v>
      </c>
      <c r="E692" s="30" t="s">
        <v>1472</v>
      </c>
      <c r="F692" s="73" t="s">
        <v>14</v>
      </c>
      <c r="G692" s="126">
        <v>50</v>
      </c>
      <c r="H692" s="127">
        <f t="shared" si="20"/>
        <v>450</v>
      </c>
      <c r="I692" s="523">
        <f>+(450+1190)/4</f>
        <v>410</v>
      </c>
      <c r="J692" s="524">
        <f t="shared" si="21"/>
        <v>860</v>
      </c>
      <c r="K692" s="266" t="s">
        <v>4996</v>
      </c>
      <c r="L692" s="267">
        <v>5780</v>
      </c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</row>
    <row r="693" spans="1:36" ht="20.25" customHeight="1" thickBot="1" x14ac:dyDescent="0.25">
      <c r="A693" s="158">
        <v>688</v>
      </c>
      <c r="B693" s="159" t="s">
        <v>1477</v>
      </c>
      <c r="C693" s="160" t="s">
        <v>5536</v>
      </c>
      <c r="D693" s="161" t="s">
        <v>1478</v>
      </c>
      <c r="E693" s="162" t="s">
        <v>1472</v>
      </c>
      <c r="F693" s="163" t="s">
        <v>17</v>
      </c>
      <c r="G693" s="164">
        <v>100</v>
      </c>
      <c r="H693" s="153">
        <f t="shared" si="20"/>
        <v>400</v>
      </c>
      <c r="I693" s="521">
        <f>+(450+1190)/4</f>
        <v>410</v>
      </c>
      <c r="J693" s="516">
        <f t="shared" si="21"/>
        <v>810</v>
      </c>
      <c r="K693" s="277"/>
      <c r="L693" s="364"/>
    </row>
    <row r="694" spans="1:36" ht="20.25" customHeight="1" x14ac:dyDescent="0.2">
      <c r="A694" s="115">
        <v>689</v>
      </c>
      <c r="B694" s="64" t="s">
        <v>1479</v>
      </c>
      <c r="C694" s="65" t="s">
        <v>5537</v>
      </c>
      <c r="D694" s="66" t="s">
        <v>1480</v>
      </c>
      <c r="E694" s="67" t="s">
        <v>1481</v>
      </c>
      <c r="F694" s="98" t="s">
        <v>8</v>
      </c>
      <c r="G694" s="123">
        <v>50</v>
      </c>
      <c r="H694" s="124">
        <f t="shared" si="20"/>
        <v>450</v>
      </c>
      <c r="I694" s="513">
        <f>+(730+1080)/4</f>
        <v>452.5</v>
      </c>
      <c r="J694" s="517">
        <f t="shared" si="21"/>
        <v>902.5</v>
      </c>
      <c r="K694" s="264"/>
      <c r="L694" s="363"/>
    </row>
    <row r="695" spans="1:36" ht="20.25" customHeight="1" x14ac:dyDescent="0.2">
      <c r="A695" s="114">
        <v>690</v>
      </c>
      <c r="B695" s="1" t="s">
        <v>1482</v>
      </c>
      <c r="C695" s="6" t="s">
        <v>5538</v>
      </c>
      <c r="D695" s="7" t="s">
        <v>1483</v>
      </c>
      <c r="E695" s="2" t="s">
        <v>1481</v>
      </c>
      <c r="F695" s="99" t="s">
        <v>11</v>
      </c>
      <c r="G695" s="121">
        <v>50</v>
      </c>
      <c r="H695" s="122">
        <f t="shared" si="20"/>
        <v>450</v>
      </c>
      <c r="I695" s="520">
        <f>+(730+1080)/4</f>
        <v>452.5</v>
      </c>
      <c r="J695" s="514">
        <f t="shared" si="21"/>
        <v>902.5</v>
      </c>
      <c r="K695" s="262"/>
      <c r="L695" s="267"/>
    </row>
    <row r="696" spans="1:36" ht="20.25" customHeight="1" x14ac:dyDescent="0.2">
      <c r="A696" s="114">
        <v>691</v>
      </c>
      <c r="B696" s="1" t="s">
        <v>1484</v>
      </c>
      <c r="C696" s="6" t="s">
        <v>5510</v>
      </c>
      <c r="D696" s="7" t="s">
        <v>1485</v>
      </c>
      <c r="E696" s="2" t="s">
        <v>1481</v>
      </c>
      <c r="F696" s="99" t="s">
        <v>14</v>
      </c>
      <c r="G696" s="121">
        <v>50</v>
      </c>
      <c r="H696" s="122">
        <f t="shared" si="20"/>
        <v>450</v>
      </c>
      <c r="I696" s="520">
        <f>+(730+1080)/4</f>
        <v>452.5</v>
      </c>
      <c r="J696" s="514">
        <f t="shared" si="21"/>
        <v>902.5</v>
      </c>
      <c r="K696" s="262"/>
      <c r="L696" s="267"/>
    </row>
    <row r="697" spans="1:36" ht="20.25" customHeight="1" thickBot="1" x14ac:dyDescent="0.25">
      <c r="A697" s="117">
        <v>692</v>
      </c>
      <c r="B697" s="3" t="s">
        <v>1486</v>
      </c>
      <c r="C697" s="8" t="s">
        <v>5539</v>
      </c>
      <c r="D697" s="9" t="s">
        <v>1487</v>
      </c>
      <c r="E697" s="4" t="s">
        <v>1481</v>
      </c>
      <c r="F697" s="101" t="s">
        <v>17</v>
      </c>
      <c r="G697" s="128">
        <v>50</v>
      </c>
      <c r="H697" s="157">
        <f t="shared" si="20"/>
        <v>450</v>
      </c>
      <c r="I697" s="522">
        <f>+(730+1080)/4</f>
        <v>452.5</v>
      </c>
      <c r="J697" s="519">
        <f t="shared" si="21"/>
        <v>902.5</v>
      </c>
      <c r="K697" s="268"/>
      <c r="L697" s="269"/>
    </row>
    <row r="698" spans="1:36" ht="20.25" customHeight="1" x14ac:dyDescent="0.2">
      <c r="A698" s="108">
        <v>693</v>
      </c>
      <c r="B698" s="171" t="s">
        <v>1488</v>
      </c>
      <c r="C698" s="110" t="s">
        <v>5351</v>
      </c>
      <c r="D698" s="111" t="s">
        <v>1489</v>
      </c>
      <c r="E698" s="112" t="s">
        <v>1490</v>
      </c>
      <c r="F698" s="113" t="s">
        <v>8</v>
      </c>
      <c r="G698" s="119">
        <v>50</v>
      </c>
      <c r="H698" s="120">
        <f t="shared" si="20"/>
        <v>450</v>
      </c>
      <c r="I698" s="511">
        <f>+(835+1185)/4</f>
        <v>505</v>
      </c>
      <c r="J698" s="512">
        <f t="shared" si="21"/>
        <v>955</v>
      </c>
      <c r="K698" s="260"/>
      <c r="L698" s="365"/>
    </row>
    <row r="699" spans="1:36" ht="20.25" customHeight="1" x14ac:dyDescent="0.2">
      <c r="A699" s="114">
        <v>694</v>
      </c>
      <c r="B699" s="1" t="s">
        <v>1491</v>
      </c>
      <c r="C699" s="6" t="s">
        <v>5028</v>
      </c>
      <c r="D699" s="7" t="s">
        <v>1492</v>
      </c>
      <c r="E699" s="2" t="s">
        <v>1490</v>
      </c>
      <c r="F699" s="99" t="s">
        <v>11</v>
      </c>
      <c r="G699" s="121">
        <v>50</v>
      </c>
      <c r="H699" s="122">
        <f t="shared" si="20"/>
        <v>450</v>
      </c>
      <c r="I699" s="520">
        <f>+(835+1185)/4</f>
        <v>505</v>
      </c>
      <c r="J699" s="514">
        <f t="shared" si="21"/>
        <v>955</v>
      </c>
      <c r="K699" s="262"/>
      <c r="L699" s="267"/>
    </row>
    <row r="700" spans="1:36" ht="20.25" customHeight="1" x14ac:dyDescent="0.2">
      <c r="A700" s="114">
        <v>695</v>
      </c>
      <c r="B700" s="1" t="s">
        <v>1493</v>
      </c>
      <c r="C700" s="6" t="s">
        <v>5540</v>
      </c>
      <c r="D700" s="7" t="s">
        <v>1494</v>
      </c>
      <c r="E700" s="2" t="s">
        <v>1490</v>
      </c>
      <c r="F700" s="99" t="s">
        <v>14</v>
      </c>
      <c r="G700" s="121">
        <v>50</v>
      </c>
      <c r="H700" s="122">
        <f t="shared" si="20"/>
        <v>450</v>
      </c>
      <c r="I700" s="520">
        <f>+(835+1185)/4</f>
        <v>505</v>
      </c>
      <c r="J700" s="514">
        <f t="shared" si="21"/>
        <v>955</v>
      </c>
      <c r="K700" s="262"/>
      <c r="L700" s="267"/>
    </row>
    <row r="701" spans="1:36" ht="20.25" customHeight="1" thickBot="1" x14ac:dyDescent="0.25">
      <c r="A701" s="158">
        <v>696</v>
      </c>
      <c r="B701" s="159" t="s">
        <v>1495</v>
      </c>
      <c r="C701" s="160" t="s">
        <v>5541</v>
      </c>
      <c r="D701" s="161" t="s">
        <v>1496</v>
      </c>
      <c r="E701" s="162" t="s">
        <v>1490</v>
      </c>
      <c r="F701" s="163" t="s">
        <v>17</v>
      </c>
      <c r="G701" s="164">
        <v>100</v>
      </c>
      <c r="H701" s="153">
        <f t="shared" si="20"/>
        <v>400</v>
      </c>
      <c r="I701" s="521">
        <f>+(835+1185)/4</f>
        <v>505</v>
      </c>
      <c r="J701" s="516">
        <f t="shared" si="21"/>
        <v>905</v>
      </c>
      <c r="K701" s="277"/>
      <c r="L701" s="364"/>
    </row>
    <row r="702" spans="1:36" ht="20.25" customHeight="1" x14ac:dyDescent="0.2">
      <c r="A702" s="115">
        <v>697</v>
      </c>
      <c r="B702" s="64" t="s">
        <v>1497</v>
      </c>
      <c r="C702" s="65" t="s">
        <v>5542</v>
      </c>
      <c r="D702" s="66" t="s">
        <v>1498</v>
      </c>
      <c r="E702" s="67" t="s">
        <v>1499</v>
      </c>
      <c r="F702" s="98" t="s">
        <v>8</v>
      </c>
      <c r="G702" s="123">
        <v>50</v>
      </c>
      <c r="H702" s="124">
        <f t="shared" si="20"/>
        <v>450</v>
      </c>
      <c r="I702" s="513">
        <f>+(165+1400)/4</f>
        <v>391.25</v>
      </c>
      <c r="J702" s="517">
        <f t="shared" si="21"/>
        <v>841.25</v>
      </c>
      <c r="K702" s="264"/>
      <c r="L702" s="363"/>
    </row>
    <row r="703" spans="1:36" ht="20.25" customHeight="1" x14ac:dyDescent="0.2">
      <c r="A703" s="114">
        <v>698</v>
      </c>
      <c r="B703" s="1" t="s">
        <v>1500</v>
      </c>
      <c r="C703" s="6" t="s">
        <v>5543</v>
      </c>
      <c r="D703" s="7" t="s">
        <v>1501</v>
      </c>
      <c r="E703" s="2" t="s">
        <v>1499</v>
      </c>
      <c r="F703" s="99" t="s">
        <v>11</v>
      </c>
      <c r="G703" s="121">
        <v>100</v>
      </c>
      <c r="H703" s="122">
        <f t="shared" si="20"/>
        <v>400</v>
      </c>
      <c r="I703" s="520">
        <f>+(165+1400)/4</f>
        <v>391.25</v>
      </c>
      <c r="J703" s="514">
        <f t="shared" si="21"/>
        <v>791.25</v>
      </c>
      <c r="K703" s="262"/>
      <c r="L703" s="267"/>
    </row>
    <row r="704" spans="1:36" ht="20.25" customHeight="1" x14ac:dyDescent="0.2">
      <c r="A704" s="114">
        <v>699</v>
      </c>
      <c r="B704" s="1" t="s">
        <v>1502</v>
      </c>
      <c r="C704" s="6" t="s">
        <v>5111</v>
      </c>
      <c r="D704" s="7" t="s">
        <v>1503</v>
      </c>
      <c r="E704" s="2" t="s">
        <v>1499</v>
      </c>
      <c r="F704" s="99" t="s">
        <v>14</v>
      </c>
      <c r="G704" s="121">
        <v>150</v>
      </c>
      <c r="H704" s="122">
        <f t="shared" si="20"/>
        <v>350</v>
      </c>
      <c r="I704" s="520">
        <f>+(165+1400)/4</f>
        <v>391.25</v>
      </c>
      <c r="J704" s="514">
        <f t="shared" si="21"/>
        <v>741.25</v>
      </c>
      <c r="K704" s="262"/>
      <c r="L704" s="267"/>
    </row>
    <row r="705" spans="1:12" ht="20.25" customHeight="1" thickBot="1" x14ac:dyDescent="0.25">
      <c r="A705" s="117">
        <v>700</v>
      </c>
      <c r="B705" s="3" t="s">
        <v>1504</v>
      </c>
      <c r="C705" s="8" t="s">
        <v>5544</v>
      </c>
      <c r="D705" s="9" t="s">
        <v>1505</v>
      </c>
      <c r="E705" s="4" t="s">
        <v>1499</v>
      </c>
      <c r="F705" s="101" t="s">
        <v>17</v>
      </c>
      <c r="G705" s="128">
        <v>50</v>
      </c>
      <c r="H705" s="157">
        <f t="shared" si="20"/>
        <v>450</v>
      </c>
      <c r="I705" s="522">
        <f>+(165+1400)/4</f>
        <v>391.25</v>
      </c>
      <c r="J705" s="519">
        <f t="shared" si="21"/>
        <v>841.25</v>
      </c>
      <c r="K705" s="268"/>
      <c r="L705" s="269"/>
    </row>
    <row r="706" spans="1:12" ht="20.25" customHeight="1" x14ac:dyDescent="0.2">
      <c r="A706" s="108">
        <v>701</v>
      </c>
      <c r="B706" s="171" t="s">
        <v>1506</v>
      </c>
      <c r="C706" s="110" t="s">
        <v>5545</v>
      </c>
      <c r="D706" s="111" t="s">
        <v>1507</v>
      </c>
      <c r="E706" s="112" t="s">
        <v>1508</v>
      </c>
      <c r="F706" s="113" t="s">
        <v>8</v>
      </c>
      <c r="G706" s="119">
        <v>150</v>
      </c>
      <c r="H706" s="120">
        <f t="shared" si="20"/>
        <v>350</v>
      </c>
      <c r="I706" s="511">
        <f>+(810+1080)/4</f>
        <v>472.5</v>
      </c>
      <c r="J706" s="512">
        <f t="shared" si="21"/>
        <v>822.5</v>
      </c>
      <c r="K706" s="260"/>
      <c r="L706" s="365"/>
    </row>
    <row r="707" spans="1:12" ht="20.25" customHeight="1" x14ac:dyDescent="0.2">
      <c r="A707" s="114">
        <v>702</v>
      </c>
      <c r="B707" s="1" t="s">
        <v>1509</v>
      </c>
      <c r="C707" s="6" t="s">
        <v>5546</v>
      </c>
      <c r="D707" s="7" t="s">
        <v>1510</v>
      </c>
      <c r="E707" s="2" t="s">
        <v>1508</v>
      </c>
      <c r="F707" s="99" t="s">
        <v>11</v>
      </c>
      <c r="G707" s="121">
        <v>50</v>
      </c>
      <c r="H707" s="122">
        <f t="shared" si="20"/>
        <v>450</v>
      </c>
      <c r="I707" s="520">
        <f>+(810+1080)/4</f>
        <v>472.5</v>
      </c>
      <c r="J707" s="514">
        <f t="shared" si="21"/>
        <v>922.5</v>
      </c>
      <c r="K707" s="262"/>
      <c r="L707" s="267"/>
    </row>
    <row r="708" spans="1:12" ht="20.25" customHeight="1" x14ac:dyDescent="0.2">
      <c r="A708" s="114">
        <v>703</v>
      </c>
      <c r="B708" s="1" t="s">
        <v>1511</v>
      </c>
      <c r="C708" s="6" t="s">
        <v>5547</v>
      </c>
      <c r="D708" s="7" t="s">
        <v>1512</v>
      </c>
      <c r="E708" s="2" t="s">
        <v>1508</v>
      </c>
      <c r="F708" s="99" t="s">
        <v>14</v>
      </c>
      <c r="G708" s="121">
        <v>100</v>
      </c>
      <c r="H708" s="122">
        <f t="shared" si="20"/>
        <v>400</v>
      </c>
      <c r="I708" s="520">
        <f>+(810+1080)/4</f>
        <v>472.5</v>
      </c>
      <c r="J708" s="514">
        <f t="shared" si="21"/>
        <v>872.5</v>
      </c>
      <c r="K708" s="262"/>
      <c r="L708" s="267"/>
    </row>
    <row r="709" spans="1:12" ht="20.25" customHeight="1" thickBot="1" x14ac:dyDescent="0.25">
      <c r="A709" s="158">
        <v>704</v>
      </c>
      <c r="B709" s="159" t="s">
        <v>1513</v>
      </c>
      <c r="C709" s="160" t="s">
        <v>5548</v>
      </c>
      <c r="D709" s="161" t="s">
        <v>1514</v>
      </c>
      <c r="E709" s="162" t="s">
        <v>1508</v>
      </c>
      <c r="F709" s="163" t="s">
        <v>17</v>
      </c>
      <c r="G709" s="164">
        <v>150</v>
      </c>
      <c r="H709" s="153">
        <f t="shared" si="20"/>
        <v>350</v>
      </c>
      <c r="I709" s="521">
        <f>+(810+1080)/4</f>
        <v>472.5</v>
      </c>
      <c r="J709" s="516">
        <f t="shared" si="21"/>
        <v>822.5</v>
      </c>
      <c r="K709" s="277"/>
      <c r="L709" s="364"/>
    </row>
    <row r="710" spans="1:12" ht="20.25" customHeight="1" x14ac:dyDescent="0.2">
      <c r="A710" s="115">
        <v>705</v>
      </c>
      <c r="B710" s="64" t="s">
        <v>1515</v>
      </c>
      <c r="C710" s="65" t="s">
        <v>5146</v>
      </c>
      <c r="D710" s="66" t="s">
        <v>611</v>
      </c>
      <c r="E710" s="67" t="s">
        <v>1516</v>
      </c>
      <c r="F710" s="98" t="s">
        <v>8</v>
      </c>
      <c r="G710" s="123">
        <v>100</v>
      </c>
      <c r="H710" s="124">
        <f t="shared" si="20"/>
        <v>400</v>
      </c>
      <c r="I710" s="513">
        <f>+(395+735)/4</f>
        <v>282.5</v>
      </c>
      <c r="J710" s="517">
        <f t="shared" si="21"/>
        <v>682.5</v>
      </c>
      <c r="K710" s="264"/>
      <c r="L710" s="363"/>
    </row>
    <row r="711" spans="1:12" ht="20.25" customHeight="1" x14ac:dyDescent="0.2">
      <c r="A711" s="114">
        <v>706</v>
      </c>
      <c r="B711" s="1" t="s">
        <v>1517</v>
      </c>
      <c r="C711" s="6" t="s">
        <v>5132</v>
      </c>
      <c r="D711" s="7" t="s">
        <v>1518</v>
      </c>
      <c r="E711" s="2" t="s">
        <v>1516</v>
      </c>
      <c r="F711" s="99" t="s">
        <v>11</v>
      </c>
      <c r="G711" s="121">
        <v>50</v>
      </c>
      <c r="H711" s="122">
        <f t="shared" ref="H711:H774" si="22">500-G711</f>
        <v>450</v>
      </c>
      <c r="I711" s="520">
        <f>+(395+735)/4</f>
        <v>282.5</v>
      </c>
      <c r="J711" s="514">
        <f t="shared" si="21"/>
        <v>732.5</v>
      </c>
      <c r="K711" s="262"/>
      <c r="L711" s="267"/>
    </row>
    <row r="712" spans="1:12" ht="20.25" customHeight="1" x14ac:dyDescent="0.2">
      <c r="A712" s="114">
        <v>707</v>
      </c>
      <c r="B712" s="1" t="s">
        <v>1519</v>
      </c>
      <c r="C712" s="6" t="s">
        <v>5367</v>
      </c>
      <c r="D712" s="7" t="s">
        <v>1520</v>
      </c>
      <c r="E712" s="2" t="s">
        <v>1516</v>
      </c>
      <c r="F712" s="99" t="s">
        <v>14</v>
      </c>
      <c r="G712" s="121">
        <v>50</v>
      </c>
      <c r="H712" s="122">
        <f t="shared" si="22"/>
        <v>450</v>
      </c>
      <c r="I712" s="520">
        <f>+(395+735)/4</f>
        <v>282.5</v>
      </c>
      <c r="J712" s="514">
        <f t="shared" ref="J712:J775" si="23">SUM(H712:I712)</f>
        <v>732.5</v>
      </c>
      <c r="K712" s="262"/>
      <c r="L712" s="267"/>
    </row>
    <row r="713" spans="1:12" ht="20.25" customHeight="1" thickBot="1" x14ac:dyDescent="0.25">
      <c r="A713" s="117">
        <v>708</v>
      </c>
      <c r="B713" s="3" t="s">
        <v>1521</v>
      </c>
      <c r="C713" s="8" t="s">
        <v>5549</v>
      </c>
      <c r="D713" s="9" t="s">
        <v>1522</v>
      </c>
      <c r="E713" s="4" t="s">
        <v>1516</v>
      </c>
      <c r="F713" s="101" t="s">
        <v>17</v>
      </c>
      <c r="G713" s="128">
        <v>50</v>
      </c>
      <c r="H713" s="157">
        <f t="shared" si="22"/>
        <v>450</v>
      </c>
      <c r="I713" s="522">
        <f>+(395+735)/4</f>
        <v>282.5</v>
      </c>
      <c r="J713" s="519">
        <f t="shared" si="23"/>
        <v>732.5</v>
      </c>
      <c r="K713" s="268"/>
      <c r="L713" s="269"/>
    </row>
    <row r="714" spans="1:12" ht="20.25" customHeight="1" x14ac:dyDescent="0.2">
      <c r="A714" s="108">
        <v>709</v>
      </c>
      <c r="B714" s="171" t="s">
        <v>1523</v>
      </c>
      <c r="C714" s="110" t="s">
        <v>5527</v>
      </c>
      <c r="D714" s="111" t="s">
        <v>1524</v>
      </c>
      <c r="E714" s="112" t="s">
        <v>1525</v>
      </c>
      <c r="F714" s="113" t="s">
        <v>8</v>
      </c>
      <c r="G714" s="119">
        <v>100</v>
      </c>
      <c r="H714" s="120">
        <f t="shared" si="22"/>
        <v>400</v>
      </c>
      <c r="I714" s="511">
        <f>+(515+695)/4</f>
        <v>302.5</v>
      </c>
      <c r="J714" s="512">
        <f t="shared" si="23"/>
        <v>702.5</v>
      </c>
      <c r="K714" s="260"/>
      <c r="L714" s="365"/>
    </row>
    <row r="715" spans="1:12" ht="20.25" customHeight="1" x14ac:dyDescent="0.2">
      <c r="A715" s="114">
        <v>710</v>
      </c>
      <c r="B715" s="1" t="s">
        <v>1526</v>
      </c>
      <c r="C715" s="6" t="s">
        <v>5147</v>
      </c>
      <c r="D715" s="7" t="s">
        <v>1527</v>
      </c>
      <c r="E715" s="2" t="s">
        <v>1525</v>
      </c>
      <c r="F715" s="99" t="s">
        <v>11</v>
      </c>
      <c r="G715" s="121">
        <v>100</v>
      </c>
      <c r="H715" s="122">
        <f t="shared" si="22"/>
        <v>400</v>
      </c>
      <c r="I715" s="520">
        <f>+(515+695)/4</f>
        <v>302.5</v>
      </c>
      <c r="J715" s="514">
        <f t="shared" si="23"/>
        <v>702.5</v>
      </c>
      <c r="K715" s="262"/>
      <c r="L715" s="267"/>
    </row>
    <row r="716" spans="1:12" ht="20.25" customHeight="1" x14ac:dyDescent="0.2">
      <c r="A716" s="114">
        <v>711</v>
      </c>
      <c r="B716" s="1" t="s">
        <v>1528</v>
      </c>
      <c r="C716" s="6" t="s">
        <v>5352</v>
      </c>
      <c r="D716" s="7" t="s">
        <v>1529</v>
      </c>
      <c r="E716" s="2" t="s">
        <v>1525</v>
      </c>
      <c r="F716" s="99" t="s">
        <v>14</v>
      </c>
      <c r="G716" s="121">
        <v>100</v>
      </c>
      <c r="H716" s="122">
        <f t="shared" si="22"/>
        <v>400</v>
      </c>
      <c r="I716" s="520">
        <f>+(515+695)/4</f>
        <v>302.5</v>
      </c>
      <c r="J716" s="514">
        <f t="shared" si="23"/>
        <v>702.5</v>
      </c>
      <c r="K716" s="262"/>
      <c r="L716" s="267"/>
    </row>
    <row r="717" spans="1:12" ht="20.25" customHeight="1" thickBot="1" x14ac:dyDescent="0.25">
      <c r="A717" s="158">
        <v>712</v>
      </c>
      <c r="B717" s="159" t="s">
        <v>1530</v>
      </c>
      <c r="C717" s="160" t="s">
        <v>5550</v>
      </c>
      <c r="D717" s="161" t="s">
        <v>1531</v>
      </c>
      <c r="E717" s="162" t="s">
        <v>1525</v>
      </c>
      <c r="F717" s="163" t="s">
        <v>17</v>
      </c>
      <c r="G717" s="164">
        <v>100</v>
      </c>
      <c r="H717" s="153">
        <f t="shared" si="22"/>
        <v>400</v>
      </c>
      <c r="I717" s="521">
        <f>+(515+695)/4</f>
        <v>302.5</v>
      </c>
      <c r="J717" s="516">
        <f t="shared" si="23"/>
        <v>702.5</v>
      </c>
      <c r="K717" s="277"/>
      <c r="L717" s="364"/>
    </row>
    <row r="718" spans="1:12" ht="20.25" customHeight="1" x14ac:dyDescent="0.2">
      <c r="A718" s="115">
        <v>713</v>
      </c>
      <c r="B718" s="64" t="s">
        <v>1532</v>
      </c>
      <c r="C718" s="65" t="s">
        <v>5551</v>
      </c>
      <c r="D718" s="66" t="s">
        <v>1533</v>
      </c>
      <c r="E718" s="67" t="s">
        <v>1534</v>
      </c>
      <c r="F718" s="98" t="s">
        <v>8</v>
      </c>
      <c r="G718" s="123">
        <v>50</v>
      </c>
      <c r="H718" s="124">
        <f t="shared" si="22"/>
        <v>450</v>
      </c>
      <c r="I718" s="513">
        <f>+(785+885)/4</f>
        <v>417.5</v>
      </c>
      <c r="J718" s="517">
        <f t="shared" si="23"/>
        <v>867.5</v>
      </c>
      <c r="K718" s="264"/>
      <c r="L718" s="363"/>
    </row>
    <row r="719" spans="1:12" ht="20.25" customHeight="1" x14ac:dyDescent="0.2">
      <c r="A719" s="114">
        <v>714</v>
      </c>
      <c r="B719" s="1" t="s">
        <v>1535</v>
      </c>
      <c r="C719" s="6" t="s">
        <v>5324</v>
      </c>
      <c r="D719" s="7" t="s">
        <v>1536</v>
      </c>
      <c r="E719" s="2" t="s">
        <v>1534</v>
      </c>
      <c r="F719" s="99" t="s">
        <v>11</v>
      </c>
      <c r="G719" s="121">
        <v>50</v>
      </c>
      <c r="H719" s="122">
        <f t="shared" si="22"/>
        <v>450</v>
      </c>
      <c r="I719" s="520">
        <f>+(785+885)/4</f>
        <v>417.5</v>
      </c>
      <c r="J719" s="514">
        <f t="shared" si="23"/>
        <v>867.5</v>
      </c>
      <c r="K719" s="262"/>
      <c r="L719" s="267"/>
    </row>
    <row r="720" spans="1:12" ht="20.25" customHeight="1" x14ac:dyDescent="0.2">
      <c r="A720" s="114">
        <v>715</v>
      </c>
      <c r="B720" s="1" t="s">
        <v>1537</v>
      </c>
      <c r="C720" s="6" t="s">
        <v>5064</v>
      </c>
      <c r="D720" s="7" t="s">
        <v>1538</v>
      </c>
      <c r="E720" s="2" t="s">
        <v>1534</v>
      </c>
      <c r="F720" s="99" t="s">
        <v>14</v>
      </c>
      <c r="G720" s="121">
        <v>150</v>
      </c>
      <c r="H720" s="122">
        <f t="shared" si="22"/>
        <v>350</v>
      </c>
      <c r="I720" s="520">
        <f>+(785+885)/4</f>
        <v>417.5</v>
      </c>
      <c r="J720" s="514">
        <f t="shared" si="23"/>
        <v>767.5</v>
      </c>
      <c r="K720" s="262"/>
      <c r="L720" s="267"/>
    </row>
    <row r="721" spans="1:36" ht="20.25" customHeight="1" thickBot="1" x14ac:dyDescent="0.25">
      <c r="A721" s="117">
        <v>716</v>
      </c>
      <c r="B721" s="3" t="s">
        <v>1539</v>
      </c>
      <c r="C721" s="8" t="s">
        <v>5528</v>
      </c>
      <c r="D721" s="9" t="s">
        <v>1540</v>
      </c>
      <c r="E721" s="4" t="s">
        <v>1534</v>
      </c>
      <c r="F721" s="101" t="s">
        <v>17</v>
      </c>
      <c r="G721" s="128">
        <v>100</v>
      </c>
      <c r="H721" s="157">
        <f t="shared" si="22"/>
        <v>400</v>
      </c>
      <c r="I721" s="522">
        <f>+(785+885)/4</f>
        <v>417.5</v>
      </c>
      <c r="J721" s="519">
        <f t="shared" si="23"/>
        <v>817.5</v>
      </c>
      <c r="K721" s="268"/>
      <c r="L721" s="269"/>
    </row>
    <row r="722" spans="1:36" ht="20.25" customHeight="1" x14ac:dyDescent="0.2">
      <c r="A722" s="108">
        <v>717</v>
      </c>
      <c r="B722" s="171" t="s">
        <v>1541</v>
      </c>
      <c r="C722" s="110" t="s">
        <v>5552</v>
      </c>
      <c r="D722" s="111" t="s">
        <v>1542</v>
      </c>
      <c r="E722" s="112" t="s">
        <v>1543</v>
      </c>
      <c r="F722" s="113" t="s">
        <v>8</v>
      </c>
      <c r="G722" s="119">
        <v>50</v>
      </c>
      <c r="H722" s="120">
        <f t="shared" si="22"/>
        <v>450</v>
      </c>
      <c r="I722" s="511">
        <f>+(820+1695)/4</f>
        <v>628.75</v>
      </c>
      <c r="J722" s="512">
        <f t="shared" si="23"/>
        <v>1078.75</v>
      </c>
      <c r="K722" s="260"/>
      <c r="L722" s="365"/>
    </row>
    <row r="723" spans="1:36" ht="20.25" customHeight="1" x14ac:dyDescent="0.2">
      <c r="A723" s="114">
        <v>718</v>
      </c>
      <c r="B723" s="1" t="s">
        <v>1544</v>
      </c>
      <c r="C723" s="6" t="s">
        <v>5439</v>
      </c>
      <c r="D723" s="7" t="s">
        <v>1545</v>
      </c>
      <c r="E723" s="2" t="s">
        <v>1543</v>
      </c>
      <c r="F723" s="99" t="s">
        <v>11</v>
      </c>
      <c r="G723" s="121">
        <v>100</v>
      </c>
      <c r="H723" s="122">
        <f t="shared" si="22"/>
        <v>400</v>
      </c>
      <c r="I723" s="520">
        <f>+(820+1695)/4</f>
        <v>628.75</v>
      </c>
      <c r="J723" s="514">
        <f t="shared" si="23"/>
        <v>1028.75</v>
      </c>
      <c r="K723" s="262"/>
      <c r="L723" s="267"/>
    </row>
    <row r="724" spans="1:36" ht="20.25" customHeight="1" x14ac:dyDescent="0.2">
      <c r="A724" s="114">
        <v>719</v>
      </c>
      <c r="B724" s="1" t="s">
        <v>1546</v>
      </c>
      <c r="C724" s="6" t="s">
        <v>5553</v>
      </c>
      <c r="D724" s="7" t="s">
        <v>449</v>
      </c>
      <c r="E724" s="2" t="s">
        <v>1543</v>
      </c>
      <c r="F724" s="99" t="s">
        <v>14</v>
      </c>
      <c r="G724" s="121">
        <v>100</v>
      </c>
      <c r="H724" s="122">
        <f t="shared" si="22"/>
        <v>400</v>
      </c>
      <c r="I724" s="520">
        <f>+(820+1695)/4</f>
        <v>628.75</v>
      </c>
      <c r="J724" s="514">
        <f t="shared" si="23"/>
        <v>1028.75</v>
      </c>
      <c r="K724" s="262"/>
      <c r="L724" s="267"/>
    </row>
    <row r="725" spans="1:36" ht="20.25" customHeight="1" thickBot="1" x14ac:dyDescent="0.25">
      <c r="A725" s="158">
        <v>720</v>
      </c>
      <c r="B725" s="159" t="s">
        <v>1547</v>
      </c>
      <c r="C725" s="160" t="s">
        <v>5554</v>
      </c>
      <c r="D725" s="161" t="s">
        <v>1548</v>
      </c>
      <c r="E725" s="162" t="s">
        <v>1543</v>
      </c>
      <c r="F725" s="163" t="s">
        <v>17</v>
      </c>
      <c r="G725" s="164">
        <v>50</v>
      </c>
      <c r="H725" s="153">
        <f t="shared" si="22"/>
        <v>450</v>
      </c>
      <c r="I725" s="521">
        <f>+(820+1695)/4</f>
        <v>628.75</v>
      </c>
      <c r="J725" s="516">
        <f t="shared" si="23"/>
        <v>1078.75</v>
      </c>
      <c r="K725" s="277"/>
      <c r="L725" s="364"/>
    </row>
    <row r="726" spans="1:36" ht="20.25" customHeight="1" x14ac:dyDescent="0.2">
      <c r="A726" s="115">
        <v>721</v>
      </c>
      <c r="B726" s="64" t="s">
        <v>1549</v>
      </c>
      <c r="C726" s="65" t="s">
        <v>5552</v>
      </c>
      <c r="D726" s="66" t="s">
        <v>1550</v>
      </c>
      <c r="E726" s="67" t="s">
        <v>1551</v>
      </c>
      <c r="F726" s="98" t="s">
        <v>8</v>
      </c>
      <c r="G726" s="123">
        <v>50</v>
      </c>
      <c r="H726" s="124">
        <f t="shared" si="22"/>
        <v>450</v>
      </c>
      <c r="I726" s="513">
        <f>+(380+1480)/4</f>
        <v>465</v>
      </c>
      <c r="J726" s="517">
        <f t="shared" si="23"/>
        <v>915</v>
      </c>
      <c r="K726" s="264"/>
      <c r="L726" s="363"/>
    </row>
    <row r="727" spans="1:36" s="37" customFormat="1" ht="20.25" customHeight="1" x14ac:dyDescent="0.2">
      <c r="A727" s="116">
        <v>722</v>
      </c>
      <c r="B727" s="46" t="s">
        <v>1552</v>
      </c>
      <c r="C727" s="29" t="s">
        <v>5256</v>
      </c>
      <c r="D727" s="28" t="s">
        <v>1553</v>
      </c>
      <c r="E727" s="30" t="s">
        <v>1551</v>
      </c>
      <c r="F727" s="73" t="s">
        <v>11</v>
      </c>
      <c r="G727" s="126">
        <v>100</v>
      </c>
      <c r="H727" s="127">
        <f t="shared" si="22"/>
        <v>400</v>
      </c>
      <c r="I727" s="523">
        <f>+(380+1480)/4</f>
        <v>465</v>
      </c>
      <c r="J727" s="524">
        <f t="shared" si="23"/>
        <v>865</v>
      </c>
      <c r="K727" s="266" t="s">
        <v>4996</v>
      </c>
      <c r="L727" s="267">
        <v>6280</v>
      </c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</row>
    <row r="728" spans="1:36" ht="20.25" customHeight="1" x14ac:dyDescent="0.2">
      <c r="A728" s="114">
        <v>723</v>
      </c>
      <c r="B728" s="1" t="s">
        <v>1554</v>
      </c>
      <c r="C728" s="6" t="s">
        <v>5555</v>
      </c>
      <c r="D728" s="7" t="s">
        <v>1555</v>
      </c>
      <c r="E728" s="2" t="s">
        <v>1551</v>
      </c>
      <c r="F728" s="99" t="s">
        <v>14</v>
      </c>
      <c r="G728" s="121">
        <v>100</v>
      </c>
      <c r="H728" s="122">
        <f t="shared" si="22"/>
        <v>400</v>
      </c>
      <c r="I728" s="520">
        <f>+(380+1480)/4</f>
        <v>465</v>
      </c>
      <c r="J728" s="514">
        <f t="shared" si="23"/>
        <v>865</v>
      </c>
      <c r="K728" s="262"/>
      <c r="L728" s="267"/>
    </row>
    <row r="729" spans="1:36" ht="20.25" customHeight="1" thickBot="1" x14ac:dyDescent="0.25">
      <c r="A729" s="117">
        <v>724</v>
      </c>
      <c r="B729" s="3" t="s">
        <v>1556</v>
      </c>
      <c r="C729" s="8" t="s">
        <v>5165</v>
      </c>
      <c r="D729" s="9" t="s">
        <v>1557</v>
      </c>
      <c r="E729" s="4" t="s">
        <v>1551</v>
      </c>
      <c r="F729" s="101" t="s">
        <v>17</v>
      </c>
      <c r="G729" s="128">
        <v>150</v>
      </c>
      <c r="H729" s="157">
        <f t="shared" si="22"/>
        <v>350</v>
      </c>
      <c r="I729" s="522">
        <f>+(380+1480)/4</f>
        <v>465</v>
      </c>
      <c r="J729" s="519">
        <f t="shared" si="23"/>
        <v>815</v>
      </c>
      <c r="K729" s="268"/>
      <c r="L729" s="269"/>
    </row>
    <row r="730" spans="1:36" ht="20.25" customHeight="1" x14ac:dyDescent="0.2">
      <c r="A730" s="108">
        <v>725</v>
      </c>
      <c r="B730" s="171" t="s">
        <v>1558</v>
      </c>
      <c r="C730" s="110" t="s">
        <v>5259</v>
      </c>
      <c r="D730" s="111" t="s">
        <v>1559</v>
      </c>
      <c r="E730" s="112" t="s">
        <v>1560</v>
      </c>
      <c r="F730" s="113" t="s">
        <v>8</v>
      </c>
      <c r="G730" s="119">
        <v>50</v>
      </c>
      <c r="H730" s="120">
        <f t="shared" si="22"/>
        <v>450</v>
      </c>
      <c r="I730" s="511">
        <f>+(0+110)/4</f>
        <v>27.5</v>
      </c>
      <c r="J730" s="512">
        <f t="shared" si="23"/>
        <v>477.5</v>
      </c>
      <c r="K730" s="260"/>
      <c r="L730" s="365"/>
    </row>
    <row r="731" spans="1:36" ht="20.25" customHeight="1" x14ac:dyDescent="0.2">
      <c r="A731" s="114">
        <v>726</v>
      </c>
      <c r="B731" s="1" t="s">
        <v>1561</v>
      </c>
      <c r="C731" s="6" t="s">
        <v>5556</v>
      </c>
      <c r="D731" s="7" t="s">
        <v>1562</v>
      </c>
      <c r="E731" s="2" t="s">
        <v>1560</v>
      </c>
      <c r="F731" s="99" t="s">
        <v>11</v>
      </c>
      <c r="G731" s="121">
        <v>50</v>
      </c>
      <c r="H731" s="122">
        <f t="shared" si="22"/>
        <v>450</v>
      </c>
      <c r="I731" s="520">
        <f>+(0+110)/4</f>
        <v>27.5</v>
      </c>
      <c r="J731" s="514">
        <f t="shared" si="23"/>
        <v>477.5</v>
      </c>
      <c r="K731" s="262"/>
      <c r="L731" s="267"/>
    </row>
    <row r="732" spans="1:36" ht="20.25" customHeight="1" x14ac:dyDescent="0.2">
      <c r="A732" s="114">
        <v>727</v>
      </c>
      <c r="B732" s="1" t="s">
        <v>1563</v>
      </c>
      <c r="C732" s="6" t="s">
        <v>5557</v>
      </c>
      <c r="D732" s="7" t="s">
        <v>1562</v>
      </c>
      <c r="E732" s="2" t="s">
        <v>1560</v>
      </c>
      <c r="F732" s="99" t="s">
        <v>14</v>
      </c>
      <c r="G732" s="121">
        <v>50</v>
      </c>
      <c r="H732" s="122">
        <f t="shared" si="22"/>
        <v>450</v>
      </c>
      <c r="I732" s="520">
        <f>+(0+110)/4</f>
        <v>27.5</v>
      </c>
      <c r="J732" s="514">
        <f t="shared" si="23"/>
        <v>477.5</v>
      </c>
      <c r="K732" s="262"/>
      <c r="L732" s="267"/>
    </row>
    <row r="733" spans="1:36" ht="20.25" customHeight="1" thickBot="1" x14ac:dyDescent="0.25">
      <c r="A733" s="158">
        <v>728</v>
      </c>
      <c r="B733" s="159" t="s">
        <v>1564</v>
      </c>
      <c r="C733" s="160" t="s">
        <v>5207</v>
      </c>
      <c r="D733" s="161" t="s">
        <v>1565</v>
      </c>
      <c r="E733" s="162" t="s">
        <v>1560</v>
      </c>
      <c r="F733" s="163" t="s">
        <v>17</v>
      </c>
      <c r="G733" s="164">
        <v>50</v>
      </c>
      <c r="H733" s="153">
        <f t="shared" si="22"/>
        <v>450</v>
      </c>
      <c r="I733" s="521">
        <f>+(0+110)/4</f>
        <v>27.5</v>
      </c>
      <c r="J733" s="516">
        <f t="shared" si="23"/>
        <v>477.5</v>
      </c>
      <c r="K733" s="277"/>
      <c r="L733" s="364"/>
    </row>
    <row r="734" spans="1:36" s="37" customFormat="1" ht="20.25" customHeight="1" x14ac:dyDescent="0.2">
      <c r="A734" s="165">
        <v>729</v>
      </c>
      <c r="B734" s="166" t="s">
        <v>1566</v>
      </c>
      <c r="C734" s="241" t="s">
        <v>5558</v>
      </c>
      <c r="D734" s="168" t="s">
        <v>1567</v>
      </c>
      <c r="E734" s="169" t="s">
        <v>1568</v>
      </c>
      <c r="F734" s="167" t="s">
        <v>8</v>
      </c>
      <c r="G734" s="170">
        <v>150</v>
      </c>
      <c r="H734" s="246">
        <f t="shared" si="22"/>
        <v>350</v>
      </c>
      <c r="I734" s="525">
        <f>+(455+1055)/4</f>
        <v>377.5</v>
      </c>
      <c r="J734" s="526">
        <f t="shared" si="23"/>
        <v>727.5</v>
      </c>
      <c r="K734" s="366" t="s">
        <v>4996</v>
      </c>
      <c r="L734" s="365">
        <v>6280</v>
      </c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</row>
    <row r="735" spans="1:36" ht="20.25" customHeight="1" x14ac:dyDescent="0.2">
      <c r="A735" s="114">
        <v>730</v>
      </c>
      <c r="B735" s="1" t="s">
        <v>1569</v>
      </c>
      <c r="C735" s="6" t="s">
        <v>5559</v>
      </c>
      <c r="D735" s="7" t="s">
        <v>1570</v>
      </c>
      <c r="E735" s="2" t="s">
        <v>1568</v>
      </c>
      <c r="F735" s="99" t="s">
        <v>11</v>
      </c>
      <c r="G735" s="121">
        <v>150</v>
      </c>
      <c r="H735" s="122">
        <f t="shared" si="22"/>
        <v>350</v>
      </c>
      <c r="I735" s="520">
        <f>+(455+1055)/4</f>
        <v>377.5</v>
      </c>
      <c r="J735" s="514">
        <f t="shared" si="23"/>
        <v>727.5</v>
      </c>
      <c r="K735" s="262"/>
      <c r="L735" s="267"/>
    </row>
    <row r="736" spans="1:36" s="37" customFormat="1" ht="20.25" customHeight="1" x14ac:dyDescent="0.2">
      <c r="A736" s="116">
        <v>731</v>
      </c>
      <c r="B736" s="46" t="s">
        <v>1571</v>
      </c>
      <c r="C736" s="29" t="s">
        <v>5234</v>
      </c>
      <c r="D736" s="28" t="s">
        <v>1567</v>
      </c>
      <c r="E736" s="30" t="s">
        <v>1568</v>
      </c>
      <c r="F736" s="73" t="s">
        <v>14</v>
      </c>
      <c r="G736" s="126">
        <v>100</v>
      </c>
      <c r="H736" s="127">
        <f t="shared" si="22"/>
        <v>400</v>
      </c>
      <c r="I736" s="523">
        <f>+(455+1055)/4</f>
        <v>377.5</v>
      </c>
      <c r="J736" s="524">
        <f t="shared" si="23"/>
        <v>777.5</v>
      </c>
      <c r="K736" s="266" t="s">
        <v>4996</v>
      </c>
      <c r="L736" s="267">
        <v>6280</v>
      </c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</row>
    <row r="737" spans="1:36" ht="20.25" customHeight="1" thickBot="1" x14ac:dyDescent="0.25">
      <c r="A737" s="158">
        <v>732</v>
      </c>
      <c r="B737" s="159" t="s">
        <v>1572</v>
      </c>
      <c r="C737" s="160" t="s">
        <v>5452</v>
      </c>
      <c r="D737" s="161" t="s">
        <v>1573</v>
      </c>
      <c r="E737" s="162" t="s">
        <v>1568</v>
      </c>
      <c r="F737" s="163" t="s">
        <v>17</v>
      </c>
      <c r="G737" s="164">
        <v>100</v>
      </c>
      <c r="H737" s="153">
        <f t="shared" si="22"/>
        <v>400</v>
      </c>
      <c r="I737" s="521">
        <f>+(455+1055)/4</f>
        <v>377.5</v>
      </c>
      <c r="J737" s="516">
        <f t="shared" si="23"/>
        <v>777.5</v>
      </c>
      <c r="K737" s="277"/>
      <c r="L737" s="364"/>
    </row>
    <row r="738" spans="1:36" ht="20.25" customHeight="1" x14ac:dyDescent="0.2">
      <c r="A738" s="115">
        <v>733</v>
      </c>
      <c r="B738" s="64" t="s">
        <v>1574</v>
      </c>
      <c r="C738" s="65" t="s">
        <v>5560</v>
      </c>
      <c r="D738" s="66" t="s">
        <v>1575</v>
      </c>
      <c r="E738" s="67" t="s">
        <v>1576</v>
      </c>
      <c r="F738" s="98" t="s">
        <v>8</v>
      </c>
      <c r="G738" s="123">
        <v>50</v>
      </c>
      <c r="H738" s="124">
        <f t="shared" si="22"/>
        <v>450</v>
      </c>
      <c r="I738" s="513">
        <f>+(0+575)/4</f>
        <v>143.75</v>
      </c>
      <c r="J738" s="517">
        <f t="shared" si="23"/>
        <v>593.75</v>
      </c>
      <c r="K738" s="264"/>
      <c r="L738" s="363"/>
    </row>
    <row r="739" spans="1:36" s="37" customFormat="1" ht="20.25" customHeight="1" x14ac:dyDescent="0.2">
      <c r="A739" s="116">
        <v>734</v>
      </c>
      <c r="B739" s="46" t="s">
        <v>1577</v>
      </c>
      <c r="C739" s="29" t="s">
        <v>5561</v>
      </c>
      <c r="D739" s="28" t="s">
        <v>1578</v>
      </c>
      <c r="E739" s="30" t="s">
        <v>1576</v>
      </c>
      <c r="F739" s="73" t="s">
        <v>11</v>
      </c>
      <c r="G739" s="126">
        <v>100</v>
      </c>
      <c r="H739" s="127">
        <f t="shared" si="22"/>
        <v>400</v>
      </c>
      <c r="I739" s="523">
        <f>+(0+575)/4</f>
        <v>143.75</v>
      </c>
      <c r="J739" s="524">
        <f t="shared" si="23"/>
        <v>543.75</v>
      </c>
      <c r="K739" s="266" t="s">
        <v>4996</v>
      </c>
      <c r="L739" s="267">
        <v>5500</v>
      </c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</row>
    <row r="740" spans="1:36" ht="20.25" customHeight="1" x14ac:dyDescent="0.2">
      <c r="A740" s="114">
        <v>735</v>
      </c>
      <c r="B740" s="1" t="s">
        <v>1579</v>
      </c>
      <c r="C740" s="6" t="s">
        <v>5562</v>
      </c>
      <c r="D740" s="7" t="s">
        <v>1580</v>
      </c>
      <c r="E740" s="2" t="s">
        <v>1576</v>
      </c>
      <c r="F740" s="99" t="s">
        <v>14</v>
      </c>
      <c r="G740" s="121">
        <v>150</v>
      </c>
      <c r="H740" s="122">
        <f t="shared" si="22"/>
        <v>350</v>
      </c>
      <c r="I740" s="520">
        <f>+(0+575)/4</f>
        <v>143.75</v>
      </c>
      <c r="J740" s="514">
        <f t="shared" si="23"/>
        <v>493.75</v>
      </c>
      <c r="K740" s="262"/>
      <c r="L740" s="267"/>
    </row>
    <row r="741" spans="1:36" ht="20.25" customHeight="1" thickBot="1" x14ac:dyDescent="0.25">
      <c r="A741" s="158">
        <v>736</v>
      </c>
      <c r="B741" s="159" t="s">
        <v>1581</v>
      </c>
      <c r="C741" s="160" t="s">
        <v>5563</v>
      </c>
      <c r="D741" s="161" t="s">
        <v>1582</v>
      </c>
      <c r="E741" s="162" t="s">
        <v>1576</v>
      </c>
      <c r="F741" s="163" t="s">
        <v>17</v>
      </c>
      <c r="G741" s="164">
        <v>100</v>
      </c>
      <c r="H741" s="153">
        <f t="shared" si="22"/>
        <v>400</v>
      </c>
      <c r="I741" s="521">
        <f>+(0+575)/4</f>
        <v>143.75</v>
      </c>
      <c r="J741" s="516">
        <f t="shared" si="23"/>
        <v>543.75</v>
      </c>
      <c r="K741" s="277"/>
      <c r="L741" s="364"/>
    </row>
    <row r="742" spans="1:36" ht="20.25" customHeight="1" x14ac:dyDescent="0.2">
      <c r="A742" s="108">
        <v>737</v>
      </c>
      <c r="B742" s="171" t="s">
        <v>1583</v>
      </c>
      <c r="C742" s="110" t="s">
        <v>5544</v>
      </c>
      <c r="D742" s="111" t="s">
        <v>1584</v>
      </c>
      <c r="E742" s="112" t="s">
        <v>1585</v>
      </c>
      <c r="F742" s="113" t="s">
        <v>8</v>
      </c>
      <c r="G742" s="119">
        <v>50</v>
      </c>
      <c r="H742" s="120">
        <f t="shared" si="22"/>
        <v>450</v>
      </c>
      <c r="I742" s="511">
        <f>+(325+1540)/4</f>
        <v>466.25</v>
      </c>
      <c r="J742" s="512">
        <f t="shared" si="23"/>
        <v>916.25</v>
      </c>
      <c r="K742" s="260"/>
      <c r="L742" s="365"/>
    </row>
    <row r="743" spans="1:36" ht="20.25" customHeight="1" x14ac:dyDescent="0.2">
      <c r="A743" s="114">
        <v>738</v>
      </c>
      <c r="B743" s="1" t="s">
        <v>1586</v>
      </c>
      <c r="C743" s="6" t="s">
        <v>5564</v>
      </c>
      <c r="D743" s="7" t="s">
        <v>1587</v>
      </c>
      <c r="E743" s="2" t="s">
        <v>1585</v>
      </c>
      <c r="F743" s="99" t="s">
        <v>11</v>
      </c>
      <c r="G743" s="121">
        <v>50</v>
      </c>
      <c r="H743" s="122">
        <f t="shared" si="22"/>
        <v>450</v>
      </c>
      <c r="I743" s="520">
        <f>+(325+1540)/4</f>
        <v>466.25</v>
      </c>
      <c r="J743" s="514">
        <f t="shared" si="23"/>
        <v>916.25</v>
      </c>
      <c r="K743" s="262"/>
      <c r="L743" s="267"/>
    </row>
    <row r="744" spans="1:36" ht="20.25" customHeight="1" x14ac:dyDescent="0.2">
      <c r="A744" s="114">
        <v>739</v>
      </c>
      <c r="B744" s="1" t="s">
        <v>1588</v>
      </c>
      <c r="C744" s="6" t="s">
        <v>5120</v>
      </c>
      <c r="D744" s="7" t="s">
        <v>1589</v>
      </c>
      <c r="E744" s="2" t="s">
        <v>1585</v>
      </c>
      <c r="F744" s="99" t="s">
        <v>14</v>
      </c>
      <c r="G744" s="121">
        <v>100</v>
      </c>
      <c r="H744" s="122">
        <f t="shared" si="22"/>
        <v>400</v>
      </c>
      <c r="I744" s="520">
        <f>+(325+1540)/4</f>
        <v>466.25</v>
      </c>
      <c r="J744" s="514">
        <f t="shared" si="23"/>
        <v>866.25</v>
      </c>
      <c r="K744" s="262"/>
      <c r="L744" s="267"/>
    </row>
    <row r="745" spans="1:36" ht="20.25" customHeight="1" thickBot="1" x14ac:dyDescent="0.25">
      <c r="A745" s="158">
        <v>740</v>
      </c>
      <c r="B745" s="159" t="s">
        <v>1590</v>
      </c>
      <c r="C745" s="160" t="s">
        <v>5565</v>
      </c>
      <c r="D745" s="161" t="s">
        <v>1591</v>
      </c>
      <c r="E745" s="162" t="s">
        <v>1585</v>
      </c>
      <c r="F745" s="163" t="s">
        <v>17</v>
      </c>
      <c r="G745" s="164">
        <v>50</v>
      </c>
      <c r="H745" s="153">
        <f t="shared" si="22"/>
        <v>450</v>
      </c>
      <c r="I745" s="521">
        <f>+(325+1540)/4</f>
        <v>466.25</v>
      </c>
      <c r="J745" s="516">
        <f t="shared" si="23"/>
        <v>916.25</v>
      </c>
      <c r="K745" s="277"/>
      <c r="L745" s="364"/>
    </row>
    <row r="746" spans="1:36" ht="20.25" customHeight="1" x14ac:dyDescent="0.2">
      <c r="A746" s="115">
        <v>741</v>
      </c>
      <c r="B746" s="61" t="s">
        <v>1592</v>
      </c>
      <c r="C746" s="62" t="s">
        <v>5566</v>
      </c>
      <c r="D746" s="63" t="s">
        <v>1593</v>
      </c>
      <c r="E746" s="12" t="s">
        <v>1594</v>
      </c>
      <c r="F746" s="172" t="s">
        <v>8</v>
      </c>
      <c r="G746" s="173">
        <v>50</v>
      </c>
      <c r="H746" s="124">
        <f t="shared" si="22"/>
        <v>450</v>
      </c>
      <c r="I746" s="513">
        <f>+(255+25)/4</f>
        <v>70</v>
      </c>
      <c r="J746" s="517">
        <f t="shared" si="23"/>
        <v>520</v>
      </c>
      <c r="K746" s="264"/>
      <c r="L746" s="363"/>
    </row>
    <row r="747" spans="1:36" ht="20.25" customHeight="1" x14ac:dyDescent="0.2">
      <c r="A747" s="114">
        <v>742</v>
      </c>
      <c r="B747" s="47" t="s">
        <v>1595</v>
      </c>
      <c r="C747" s="10" t="s">
        <v>5567</v>
      </c>
      <c r="D747" s="11" t="s">
        <v>1596</v>
      </c>
      <c r="E747" s="5" t="s">
        <v>1594</v>
      </c>
      <c r="F747" s="100" t="s">
        <v>11</v>
      </c>
      <c r="G747" s="125">
        <v>50</v>
      </c>
      <c r="H747" s="122">
        <f t="shared" si="22"/>
        <v>450</v>
      </c>
      <c r="I747" s="520">
        <f>+(255+25)/4</f>
        <v>70</v>
      </c>
      <c r="J747" s="514">
        <f t="shared" si="23"/>
        <v>520</v>
      </c>
      <c r="K747" s="262"/>
      <c r="L747" s="267"/>
    </row>
    <row r="748" spans="1:36" ht="20.25" customHeight="1" x14ac:dyDescent="0.2">
      <c r="A748" s="114">
        <v>743</v>
      </c>
      <c r="B748" s="47" t="s">
        <v>4880</v>
      </c>
      <c r="C748" s="10" t="s">
        <v>5568</v>
      </c>
      <c r="D748" s="11" t="s">
        <v>1645</v>
      </c>
      <c r="E748" s="5" t="s">
        <v>1594</v>
      </c>
      <c r="F748" s="100" t="s">
        <v>14</v>
      </c>
      <c r="G748" s="125">
        <v>50</v>
      </c>
      <c r="H748" s="122">
        <f t="shared" si="22"/>
        <v>450</v>
      </c>
      <c r="I748" s="520">
        <f>+(255+25)/4</f>
        <v>70</v>
      </c>
      <c r="J748" s="514">
        <f t="shared" si="23"/>
        <v>520</v>
      </c>
      <c r="K748" s="262"/>
      <c r="L748" s="267"/>
    </row>
    <row r="749" spans="1:36" ht="20.25" customHeight="1" thickBot="1" x14ac:dyDescent="0.25">
      <c r="A749" s="117">
        <v>744</v>
      </c>
      <c r="B749" s="357" t="s">
        <v>1597</v>
      </c>
      <c r="C749" s="358" t="s">
        <v>5569</v>
      </c>
      <c r="D749" s="359" t="s">
        <v>1598</v>
      </c>
      <c r="E749" s="360" t="s">
        <v>1594</v>
      </c>
      <c r="F749" s="361" t="s">
        <v>17</v>
      </c>
      <c r="G749" s="362">
        <v>50</v>
      </c>
      <c r="H749" s="157">
        <f t="shared" si="22"/>
        <v>450</v>
      </c>
      <c r="I749" s="522">
        <f>+(255+25)/4</f>
        <v>70</v>
      </c>
      <c r="J749" s="519">
        <f t="shared" si="23"/>
        <v>520</v>
      </c>
      <c r="K749" s="268"/>
      <c r="L749" s="269"/>
    </row>
    <row r="750" spans="1:36" ht="20.25" customHeight="1" x14ac:dyDescent="0.2">
      <c r="A750" s="108">
        <v>745</v>
      </c>
      <c r="B750" s="171" t="s">
        <v>1599</v>
      </c>
      <c r="C750" s="110" t="s">
        <v>5453</v>
      </c>
      <c r="D750" s="111" t="s">
        <v>1600</v>
      </c>
      <c r="E750" s="112" t="s">
        <v>1601</v>
      </c>
      <c r="F750" s="113" t="s">
        <v>8</v>
      </c>
      <c r="G750" s="119">
        <v>100</v>
      </c>
      <c r="H750" s="120">
        <f t="shared" si="22"/>
        <v>400</v>
      </c>
      <c r="I750" s="511">
        <f>+(485+930)/4</f>
        <v>353.75</v>
      </c>
      <c r="J750" s="512">
        <f t="shared" si="23"/>
        <v>753.75</v>
      </c>
      <c r="K750" s="260"/>
      <c r="L750" s="365"/>
    </row>
    <row r="751" spans="1:36" ht="20.25" customHeight="1" x14ac:dyDescent="0.2">
      <c r="A751" s="114">
        <v>746</v>
      </c>
      <c r="B751" s="1" t="s">
        <v>1602</v>
      </c>
      <c r="C751" s="6" t="s">
        <v>5570</v>
      </c>
      <c r="D751" s="7" t="s">
        <v>1603</v>
      </c>
      <c r="E751" s="2" t="s">
        <v>1601</v>
      </c>
      <c r="F751" s="99" t="s">
        <v>11</v>
      </c>
      <c r="G751" s="121">
        <v>150</v>
      </c>
      <c r="H751" s="122">
        <f t="shared" si="22"/>
        <v>350</v>
      </c>
      <c r="I751" s="520">
        <f>+(485+930)/4</f>
        <v>353.75</v>
      </c>
      <c r="J751" s="514">
        <f t="shared" si="23"/>
        <v>703.75</v>
      </c>
      <c r="K751" s="262"/>
      <c r="L751" s="267"/>
    </row>
    <row r="752" spans="1:36" ht="20.25" customHeight="1" x14ac:dyDescent="0.2">
      <c r="A752" s="114">
        <v>747</v>
      </c>
      <c r="B752" s="1" t="s">
        <v>1604</v>
      </c>
      <c r="C752" s="6" t="s">
        <v>5571</v>
      </c>
      <c r="D752" s="7" t="s">
        <v>1605</v>
      </c>
      <c r="E752" s="2" t="s">
        <v>1601</v>
      </c>
      <c r="F752" s="99" t="s">
        <v>14</v>
      </c>
      <c r="G752" s="121">
        <v>50</v>
      </c>
      <c r="H752" s="122">
        <f t="shared" si="22"/>
        <v>450</v>
      </c>
      <c r="I752" s="520">
        <f>+(485+930)/4</f>
        <v>353.75</v>
      </c>
      <c r="J752" s="514">
        <f t="shared" si="23"/>
        <v>803.75</v>
      </c>
      <c r="K752" s="262"/>
      <c r="L752" s="267"/>
    </row>
    <row r="753" spans="1:12" ht="20.25" customHeight="1" thickBot="1" x14ac:dyDescent="0.25">
      <c r="A753" s="158">
        <v>748</v>
      </c>
      <c r="B753" s="159" t="s">
        <v>1606</v>
      </c>
      <c r="C753" s="160" t="s">
        <v>5063</v>
      </c>
      <c r="D753" s="161" t="s">
        <v>1607</v>
      </c>
      <c r="E753" s="162" t="s">
        <v>1601</v>
      </c>
      <c r="F753" s="163" t="s">
        <v>17</v>
      </c>
      <c r="G753" s="164">
        <v>50</v>
      </c>
      <c r="H753" s="153">
        <f t="shared" si="22"/>
        <v>450</v>
      </c>
      <c r="I753" s="521">
        <f>+(485+930)/4</f>
        <v>353.75</v>
      </c>
      <c r="J753" s="516">
        <f t="shared" si="23"/>
        <v>803.75</v>
      </c>
      <c r="K753" s="277"/>
      <c r="L753" s="364"/>
    </row>
    <row r="754" spans="1:12" ht="20.25" customHeight="1" x14ac:dyDescent="0.2">
      <c r="A754" s="115">
        <v>749</v>
      </c>
      <c r="B754" s="64" t="s">
        <v>1608</v>
      </c>
      <c r="C754" s="65" t="s">
        <v>5572</v>
      </c>
      <c r="D754" s="66" t="s">
        <v>1609</v>
      </c>
      <c r="E754" s="67" t="s">
        <v>1610</v>
      </c>
      <c r="F754" s="98" t="s">
        <v>8</v>
      </c>
      <c r="G754" s="123">
        <v>50</v>
      </c>
      <c r="H754" s="124">
        <f t="shared" si="22"/>
        <v>450</v>
      </c>
      <c r="I754" s="513">
        <f>+(460+975)/4</f>
        <v>358.75</v>
      </c>
      <c r="J754" s="517">
        <f t="shared" si="23"/>
        <v>808.75</v>
      </c>
      <c r="K754" s="264"/>
      <c r="L754" s="363"/>
    </row>
    <row r="755" spans="1:12" ht="20.25" customHeight="1" x14ac:dyDescent="0.2">
      <c r="A755" s="114">
        <v>750</v>
      </c>
      <c r="B755" s="1" t="s">
        <v>1611</v>
      </c>
      <c r="C755" s="6" t="s">
        <v>5573</v>
      </c>
      <c r="D755" s="7" t="s">
        <v>1612</v>
      </c>
      <c r="E755" s="2" t="s">
        <v>1610</v>
      </c>
      <c r="F755" s="99" t="s">
        <v>11</v>
      </c>
      <c r="G755" s="121">
        <v>100</v>
      </c>
      <c r="H755" s="122">
        <f t="shared" si="22"/>
        <v>400</v>
      </c>
      <c r="I755" s="520">
        <f>+(460+975)/4</f>
        <v>358.75</v>
      </c>
      <c r="J755" s="514">
        <f t="shared" si="23"/>
        <v>758.75</v>
      </c>
      <c r="K755" s="262"/>
      <c r="L755" s="267"/>
    </row>
    <row r="756" spans="1:12" ht="20.25" customHeight="1" x14ac:dyDescent="0.2">
      <c r="A756" s="114">
        <v>751</v>
      </c>
      <c r="B756" s="1" t="s">
        <v>1613</v>
      </c>
      <c r="C756" s="6" t="s">
        <v>5574</v>
      </c>
      <c r="D756" s="7" t="s">
        <v>1614</v>
      </c>
      <c r="E756" s="2" t="s">
        <v>1610</v>
      </c>
      <c r="F756" s="99" t="s">
        <v>14</v>
      </c>
      <c r="G756" s="121">
        <v>50</v>
      </c>
      <c r="H756" s="122">
        <f t="shared" si="22"/>
        <v>450</v>
      </c>
      <c r="I756" s="520">
        <f>+(460+975)/4</f>
        <v>358.75</v>
      </c>
      <c r="J756" s="514">
        <f t="shared" si="23"/>
        <v>808.75</v>
      </c>
      <c r="K756" s="262"/>
      <c r="L756" s="267"/>
    </row>
    <row r="757" spans="1:12" ht="20.25" customHeight="1" thickBot="1" x14ac:dyDescent="0.25">
      <c r="A757" s="117">
        <v>752</v>
      </c>
      <c r="B757" s="3" t="s">
        <v>1615</v>
      </c>
      <c r="C757" s="8" t="s">
        <v>5575</v>
      </c>
      <c r="D757" s="9" t="s">
        <v>1616</v>
      </c>
      <c r="E757" s="4" t="s">
        <v>1610</v>
      </c>
      <c r="F757" s="101" t="s">
        <v>17</v>
      </c>
      <c r="G757" s="128">
        <v>50</v>
      </c>
      <c r="H757" s="157">
        <f t="shared" si="22"/>
        <v>450</v>
      </c>
      <c r="I757" s="522">
        <f>+(460+975)/4</f>
        <v>358.75</v>
      </c>
      <c r="J757" s="519">
        <f t="shared" si="23"/>
        <v>808.75</v>
      </c>
      <c r="K757" s="268"/>
      <c r="L757" s="269"/>
    </row>
    <row r="758" spans="1:12" ht="20.25" customHeight="1" x14ac:dyDescent="0.2">
      <c r="A758" s="108">
        <v>753</v>
      </c>
      <c r="B758" s="171" t="s">
        <v>1617</v>
      </c>
      <c r="C758" s="110" t="s">
        <v>5576</v>
      </c>
      <c r="D758" s="111" t="s">
        <v>1618</v>
      </c>
      <c r="E758" s="112" t="s">
        <v>1619</v>
      </c>
      <c r="F758" s="113" t="s">
        <v>8</v>
      </c>
      <c r="G758" s="119">
        <v>50</v>
      </c>
      <c r="H758" s="120">
        <f t="shared" si="22"/>
        <v>450</v>
      </c>
      <c r="I758" s="511">
        <f>+(720+1175)/4</f>
        <v>473.75</v>
      </c>
      <c r="J758" s="512">
        <f t="shared" si="23"/>
        <v>923.75</v>
      </c>
      <c r="K758" s="260"/>
      <c r="L758" s="365"/>
    </row>
    <row r="759" spans="1:12" ht="20.25" customHeight="1" x14ac:dyDescent="0.2">
      <c r="A759" s="114">
        <v>754</v>
      </c>
      <c r="B759" s="1" t="s">
        <v>1620</v>
      </c>
      <c r="C759" s="6" t="s">
        <v>5234</v>
      </c>
      <c r="D759" s="7" t="s">
        <v>1621</v>
      </c>
      <c r="E759" s="2" t="s">
        <v>1619</v>
      </c>
      <c r="F759" s="99" t="s">
        <v>11</v>
      </c>
      <c r="G759" s="121">
        <v>50</v>
      </c>
      <c r="H759" s="122">
        <f t="shared" si="22"/>
        <v>450</v>
      </c>
      <c r="I759" s="520">
        <f>+(720+1175)/4</f>
        <v>473.75</v>
      </c>
      <c r="J759" s="514">
        <f t="shared" si="23"/>
        <v>923.75</v>
      </c>
      <c r="K759" s="262"/>
      <c r="L759" s="267"/>
    </row>
    <row r="760" spans="1:12" ht="20.25" customHeight="1" x14ac:dyDescent="0.2">
      <c r="A760" s="114">
        <v>755</v>
      </c>
      <c r="B760" s="1" t="s">
        <v>1622</v>
      </c>
      <c r="C760" s="6" t="s">
        <v>5334</v>
      </c>
      <c r="D760" s="7" t="s">
        <v>1623</v>
      </c>
      <c r="E760" s="2" t="s">
        <v>1619</v>
      </c>
      <c r="F760" s="99" t="s">
        <v>14</v>
      </c>
      <c r="G760" s="121">
        <v>50</v>
      </c>
      <c r="H760" s="122">
        <f t="shared" si="22"/>
        <v>450</v>
      </c>
      <c r="I760" s="520">
        <f>+(720+1175)/4</f>
        <v>473.75</v>
      </c>
      <c r="J760" s="514">
        <f t="shared" si="23"/>
        <v>923.75</v>
      </c>
      <c r="K760" s="262"/>
      <c r="L760" s="267"/>
    </row>
    <row r="761" spans="1:12" ht="20.25" customHeight="1" thickBot="1" x14ac:dyDescent="0.25">
      <c r="A761" s="158">
        <v>756</v>
      </c>
      <c r="B761" s="159" t="s">
        <v>1624</v>
      </c>
      <c r="C761" s="160" t="s">
        <v>5046</v>
      </c>
      <c r="D761" s="161" t="s">
        <v>1625</v>
      </c>
      <c r="E761" s="162" t="s">
        <v>1619</v>
      </c>
      <c r="F761" s="163" t="s">
        <v>17</v>
      </c>
      <c r="G761" s="164">
        <v>100</v>
      </c>
      <c r="H761" s="153">
        <f t="shared" si="22"/>
        <v>400</v>
      </c>
      <c r="I761" s="521">
        <f>+(720+1175)/4</f>
        <v>473.75</v>
      </c>
      <c r="J761" s="516">
        <f t="shared" si="23"/>
        <v>873.75</v>
      </c>
      <c r="K761" s="277"/>
      <c r="L761" s="364"/>
    </row>
    <row r="762" spans="1:12" ht="20.25" customHeight="1" x14ac:dyDescent="0.2">
      <c r="A762" s="115">
        <v>757</v>
      </c>
      <c r="B762" s="64" t="s">
        <v>1626</v>
      </c>
      <c r="C762" s="65" t="s">
        <v>5577</v>
      </c>
      <c r="D762" s="66" t="s">
        <v>1627</v>
      </c>
      <c r="E762" s="67" t="s">
        <v>1628</v>
      </c>
      <c r="F762" s="98" t="s">
        <v>8</v>
      </c>
      <c r="G762" s="123">
        <v>50</v>
      </c>
      <c r="H762" s="124">
        <f t="shared" si="22"/>
        <v>450</v>
      </c>
      <c r="I762" s="513">
        <f>+(560+965)/4</f>
        <v>381.25</v>
      </c>
      <c r="J762" s="517">
        <f t="shared" si="23"/>
        <v>831.25</v>
      </c>
      <c r="K762" s="264"/>
      <c r="L762" s="363"/>
    </row>
    <row r="763" spans="1:12" ht="20.25" customHeight="1" x14ac:dyDescent="0.2">
      <c r="A763" s="114">
        <v>758</v>
      </c>
      <c r="B763" s="1" t="s">
        <v>1629</v>
      </c>
      <c r="C763" s="6" t="s">
        <v>5217</v>
      </c>
      <c r="D763" s="7" t="s">
        <v>1630</v>
      </c>
      <c r="E763" s="2" t="s">
        <v>1628</v>
      </c>
      <c r="F763" s="99" t="s">
        <v>11</v>
      </c>
      <c r="G763" s="121">
        <v>50</v>
      </c>
      <c r="H763" s="122">
        <f t="shared" si="22"/>
        <v>450</v>
      </c>
      <c r="I763" s="520">
        <f>+(560+965)/4</f>
        <v>381.25</v>
      </c>
      <c r="J763" s="514">
        <f t="shared" si="23"/>
        <v>831.25</v>
      </c>
      <c r="K763" s="262"/>
      <c r="L763" s="267"/>
    </row>
    <row r="764" spans="1:12" ht="20.25" customHeight="1" x14ac:dyDescent="0.2">
      <c r="A764" s="114">
        <v>759</v>
      </c>
      <c r="B764" s="1" t="s">
        <v>1631</v>
      </c>
      <c r="C764" s="6" t="s">
        <v>5578</v>
      </c>
      <c r="D764" s="7" t="s">
        <v>1632</v>
      </c>
      <c r="E764" s="2" t="s">
        <v>1628</v>
      </c>
      <c r="F764" s="99" t="s">
        <v>14</v>
      </c>
      <c r="G764" s="121">
        <v>50</v>
      </c>
      <c r="H764" s="122">
        <f t="shared" si="22"/>
        <v>450</v>
      </c>
      <c r="I764" s="520">
        <f>+(560+965)/4</f>
        <v>381.25</v>
      </c>
      <c r="J764" s="514">
        <f t="shared" si="23"/>
        <v>831.25</v>
      </c>
      <c r="K764" s="262"/>
      <c r="L764" s="267"/>
    </row>
    <row r="765" spans="1:12" ht="20.25" customHeight="1" thickBot="1" x14ac:dyDescent="0.25">
      <c r="A765" s="117">
        <v>760</v>
      </c>
      <c r="B765" s="3" t="s">
        <v>1633</v>
      </c>
      <c r="C765" s="8" t="s">
        <v>5579</v>
      </c>
      <c r="D765" s="9" t="s">
        <v>1634</v>
      </c>
      <c r="E765" s="4" t="s">
        <v>1628</v>
      </c>
      <c r="F765" s="101" t="s">
        <v>17</v>
      </c>
      <c r="G765" s="128">
        <v>100</v>
      </c>
      <c r="H765" s="157">
        <f t="shared" si="22"/>
        <v>400</v>
      </c>
      <c r="I765" s="522">
        <f>+(560+965)/4</f>
        <v>381.25</v>
      </c>
      <c r="J765" s="519">
        <f t="shared" si="23"/>
        <v>781.25</v>
      </c>
      <c r="K765" s="268"/>
      <c r="L765" s="269"/>
    </row>
    <row r="766" spans="1:12" ht="20.25" customHeight="1" x14ac:dyDescent="0.2">
      <c r="A766" s="108">
        <v>761</v>
      </c>
      <c r="B766" s="174" t="s">
        <v>1635</v>
      </c>
      <c r="C766" s="175" t="s">
        <v>5475</v>
      </c>
      <c r="D766" s="176" t="s">
        <v>1636</v>
      </c>
      <c r="E766" s="177" t="s">
        <v>1637</v>
      </c>
      <c r="F766" s="178" t="s">
        <v>8</v>
      </c>
      <c r="G766" s="179">
        <v>50</v>
      </c>
      <c r="H766" s="120">
        <f t="shared" si="22"/>
        <v>450</v>
      </c>
      <c r="I766" s="511">
        <f>+(0+0)/4</f>
        <v>0</v>
      </c>
      <c r="J766" s="512">
        <f t="shared" si="23"/>
        <v>450</v>
      </c>
      <c r="K766" s="260"/>
      <c r="L766" s="365"/>
    </row>
    <row r="767" spans="1:12" ht="20.25" customHeight="1" x14ac:dyDescent="0.2">
      <c r="A767" s="114">
        <v>762</v>
      </c>
      <c r="B767" s="47" t="s">
        <v>1638</v>
      </c>
      <c r="C767" s="10" t="s">
        <v>5580</v>
      </c>
      <c r="D767" s="11" t="s">
        <v>1639</v>
      </c>
      <c r="E767" s="5" t="s">
        <v>1637</v>
      </c>
      <c r="F767" s="100" t="s">
        <v>11</v>
      </c>
      <c r="G767" s="125">
        <v>350</v>
      </c>
      <c r="H767" s="122">
        <f t="shared" si="22"/>
        <v>150</v>
      </c>
      <c r="I767" s="520">
        <f>+(0+0)/4</f>
        <v>0</v>
      </c>
      <c r="J767" s="514">
        <f t="shared" si="23"/>
        <v>150</v>
      </c>
      <c r="K767" s="262"/>
      <c r="L767" s="267"/>
    </row>
    <row r="768" spans="1:12" ht="20.25" customHeight="1" x14ac:dyDescent="0.2">
      <c r="A768" s="114">
        <v>763</v>
      </c>
      <c r="B768" s="47" t="s">
        <v>4961</v>
      </c>
      <c r="C768" s="10" t="s">
        <v>5581</v>
      </c>
      <c r="D768" s="11" t="s">
        <v>4881</v>
      </c>
      <c r="E768" s="5" t="s">
        <v>1637</v>
      </c>
      <c r="F768" s="100" t="s">
        <v>14</v>
      </c>
      <c r="G768" s="125">
        <v>150</v>
      </c>
      <c r="H768" s="122">
        <f t="shared" si="22"/>
        <v>350</v>
      </c>
      <c r="I768" s="520">
        <f>+(0+0)/4</f>
        <v>0</v>
      </c>
      <c r="J768" s="514">
        <f t="shared" si="23"/>
        <v>350</v>
      </c>
      <c r="K768" s="262"/>
      <c r="L768" s="267"/>
    </row>
    <row r="769" spans="1:12" ht="20.25" customHeight="1" thickBot="1" x14ac:dyDescent="0.25">
      <c r="A769" s="158">
        <v>764</v>
      </c>
      <c r="B769" s="192" t="s">
        <v>1640</v>
      </c>
      <c r="C769" s="193" t="s">
        <v>5582</v>
      </c>
      <c r="D769" s="194" t="s">
        <v>1641</v>
      </c>
      <c r="E769" s="195" t="s">
        <v>1637</v>
      </c>
      <c r="F769" s="196" t="s">
        <v>17</v>
      </c>
      <c r="G769" s="197">
        <v>100</v>
      </c>
      <c r="H769" s="153">
        <f t="shared" si="22"/>
        <v>400</v>
      </c>
      <c r="I769" s="521">
        <f>+(0+0)/4</f>
        <v>0</v>
      </c>
      <c r="J769" s="516">
        <f t="shared" si="23"/>
        <v>400</v>
      </c>
      <c r="K769" s="277"/>
      <c r="L769" s="364"/>
    </row>
    <row r="770" spans="1:12" ht="20.25" customHeight="1" x14ac:dyDescent="0.2">
      <c r="A770" s="115">
        <v>765</v>
      </c>
      <c r="B770" s="64" t="s">
        <v>1642</v>
      </c>
      <c r="C770" s="65" t="s">
        <v>5065</v>
      </c>
      <c r="D770" s="66" t="s">
        <v>465</v>
      </c>
      <c r="E770" s="67" t="s">
        <v>1643</v>
      </c>
      <c r="F770" s="98" t="s">
        <v>8</v>
      </c>
      <c r="G770" s="123">
        <v>50</v>
      </c>
      <c r="H770" s="124">
        <f t="shared" si="22"/>
        <v>450</v>
      </c>
      <c r="I770" s="513">
        <f>+(370+785)/4</f>
        <v>288.75</v>
      </c>
      <c r="J770" s="517">
        <f t="shared" si="23"/>
        <v>738.75</v>
      </c>
      <c r="K770" s="264"/>
      <c r="L770" s="363"/>
    </row>
    <row r="771" spans="1:12" ht="20.25" customHeight="1" x14ac:dyDescent="0.2">
      <c r="A771" s="114">
        <v>766</v>
      </c>
      <c r="B771" s="1" t="s">
        <v>1644</v>
      </c>
      <c r="C771" s="6" t="s">
        <v>5324</v>
      </c>
      <c r="D771" s="7" t="s">
        <v>1645</v>
      </c>
      <c r="E771" s="2" t="s">
        <v>1643</v>
      </c>
      <c r="F771" s="99" t="s">
        <v>11</v>
      </c>
      <c r="G771" s="121">
        <v>150</v>
      </c>
      <c r="H771" s="122">
        <f t="shared" si="22"/>
        <v>350</v>
      </c>
      <c r="I771" s="520">
        <f>+(370+785)/4</f>
        <v>288.75</v>
      </c>
      <c r="J771" s="514">
        <f t="shared" si="23"/>
        <v>638.75</v>
      </c>
      <c r="K771" s="262"/>
      <c r="L771" s="267"/>
    </row>
    <row r="772" spans="1:12" ht="20.25" customHeight="1" x14ac:dyDescent="0.2">
      <c r="A772" s="114">
        <v>767</v>
      </c>
      <c r="B772" s="1" t="s">
        <v>1646</v>
      </c>
      <c r="C772" s="6" t="s">
        <v>5583</v>
      </c>
      <c r="D772" s="7" t="s">
        <v>1647</v>
      </c>
      <c r="E772" s="2" t="s">
        <v>1643</v>
      </c>
      <c r="F772" s="99" t="s">
        <v>14</v>
      </c>
      <c r="G772" s="121">
        <v>50</v>
      </c>
      <c r="H772" s="122">
        <f t="shared" si="22"/>
        <v>450</v>
      </c>
      <c r="I772" s="520">
        <f>+(370+785)/4</f>
        <v>288.75</v>
      </c>
      <c r="J772" s="514">
        <f t="shared" si="23"/>
        <v>738.75</v>
      </c>
      <c r="K772" s="262"/>
      <c r="L772" s="267"/>
    </row>
    <row r="773" spans="1:12" ht="20.25" customHeight="1" thickBot="1" x14ac:dyDescent="0.25">
      <c r="A773" s="158">
        <v>768</v>
      </c>
      <c r="B773" s="159" t="s">
        <v>1648</v>
      </c>
      <c r="C773" s="160" t="s">
        <v>5584</v>
      </c>
      <c r="D773" s="161" t="s">
        <v>1649</v>
      </c>
      <c r="E773" s="162" t="s">
        <v>1643</v>
      </c>
      <c r="F773" s="163" t="s">
        <v>17</v>
      </c>
      <c r="G773" s="164">
        <v>100</v>
      </c>
      <c r="H773" s="153">
        <f t="shared" si="22"/>
        <v>400</v>
      </c>
      <c r="I773" s="521">
        <f>+(370+785)/4</f>
        <v>288.75</v>
      </c>
      <c r="J773" s="516">
        <f t="shared" si="23"/>
        <v>688.75</v>
      </c>
      <c r="K773" s="277"/>
      <c r="L773" s="364"/>
    </row>
    <row r="774" spans="1:12" ht="20.25" customHeight="1" x14ac:dyDescent="0.2">
      <c r="A774" s="108">
        <v>769</v>
      </c>
      <c r="B774" s="171" t="s">
        <v>1650</v>
      </c>
      <c r="C774" s="110" t="s">
        <v>5439</v>
      </c>
      <c r="D774" s="111" t="s">
        <v>1651</v>
      </c>
      <c r="E774" s="112" t="s">
        <v>1652</v>
      </c>
      <c r="F774" s="113" t="s">
        <v>8</v>
      </c>
      <c r="G774" s="119">
        <v>100</v>
      </c>
      <c r="H774" s="120">
        <f t="shared" si="22"/>
        <v>400</v>
      </c>
      <c r="I774" s="511">
        <f>+(675+1165)/4</f>
        <v>460</v>
      </c>
      <c r="J774" s="512">
        <f t="shared" si="23"/>
        <v>860</v>
      </c>
      <c r="K774" s="260"/>
      <c r="L774" s="365"/>
    </row>
    <row r="775" spans="1:12" ht="20.25" customHeight="1" x14ac:dyDescent="0.2">
      <c r="A775" s="114">
        <v>770</v>
      </c>
      <c r="B775" s="1" t="s">
        <v>1653</v>
      </c>
      <c r="C775" s="6" t="s">
        <v>5585</v>
      </c>
      <c r="D775" s="7" t="s">
        <v>1654</v>
      </c>
      <c r="E775" s="2" t="s">
        <v>1652</v>
      </c>
      <c r="F775" s="99" t="s">
        <v>11</v>
      </c>
      <c r="G775" s="121">
        <v>50</v>
      </c>
      <c r="H775" s="122">
        <f t="shared" ref="H775:H838" si="24">500-G775</f>
        <v>450</v>
      </c>
      <c r="I775" s="520">
        <f>+(675+1165)/4</f>
        <v>460</v>
      </c>
      <c r="J775" s="514">
        <f t="shared" si="23"/>
        <v>910</v>
      </c>
      <c r="K775" s="262"/>
      <c r="L775" s="267"/>
    </row>
    <row r="776" spans="1:12" ht="20.25" customHeight="1" x14ac:dyDescent="0.2">
      <c r="A776" s="114">
        <v>771</v>
      </c>
      <c r="B776" s="1" t="s">
        <v>1655</v>
      </c>
      <c r="C776" s="6" t="s">
        <v>5586</v>
      </c>
      <c r="D776" s="7" t="s">
        <v>1656</v>
      </c>
      <c r="E776" s="2" t="s">
        <v>1652</v>
      </c>
      <c r="F776" s="99" t="s">
        <v>14</v>
      </c>
      <c r="G776" s="121">
        <v>50</v>
      </c>
      <c r="H776" s="122">
        <f t="shared" si="24"/>
        <v>450</v>
      </c>
      <c r="I776" s="520">
        <f>+(675+1165)/4</f>
        <v>460</v>
      </c>
      <c r="J776" s="514">
        <f t="shared" ref="J776:J839" si="25">SUM(H776:I776)</f>
        <v>910</v>
      </c>
      <c r="K776" s="262"/>
      <c r="L776" s="267"/>
    </row>
    <row r="777" spans="1:12" ht="20.25" customHeight="1" thickBot="1" x14ac:dyDescent="0.25">
      <c r="A777" s="158">
        <v>772</v>
      </c>
      <c r="B777" s="159" t="s">
        <v>1657</v>
      </c>
      <c r="C777" s="160" t="s">
        <v>5012</v>
      </c>
      <c r="D777" s="161" t="s">
        <v>1658</v>
      </c>
      <c r="E777" s="162" t="s">
        <v>1652</v>
      </c>
      <c r="F777" s="163" t="s">
        <v>17</v>
      </c>
      <c r="G777" s="164">
        <v>150</v>
      </c>
      <c r="H777" s="153">
        <f t="shared" si="24"/>
        <v>350</v>
      </c>
      <c r="I777" s="521">
        <f>+(675+1165)/4</f>
        <v>460</v>
      </c>
      <c r="J777" s="516">
        <f t="shared" si="25"/>
        <v>810</v>
      </c>
      <c r="K777" s="277"/>
      <c r="L777" s="364"/>
    </row>
    <row r="778" spans="1:12" ht="20.25" customHeight="1" x14ac:dyDescent="0.2">
      <c r="A778" s="115">
        <v>773</v>
      </c>
      <c r="B778" s="64" t="s">
        <v>1659</v>
      </c>
      <c r="C778" s="65" t="s">
        <v>5134</v>
      </c>
      <c r="D778" s="66" t="s">
        <v>1660</v>
      </c>
      <c r="E778" s="67" t="s">
        <v>1661</v>
      </c>
      <c r="F778" s="98" t="s">
        <v>8</v>
      </c>
      <c r="G778" s="123">
        <v>100</v>
      </c>
      <c r="H778" s="124">
        <f t="shared" si="24"/>
        <v>400</v>
      </c>
      <c r="I778" s="513">
        <f>+(0+325)/4</f>
        <v>81.25</v>
      </c>
      <c r="J778" s="517">
        <f t="shared" si="25"/>
        <v>481.25</v>
      </c>
      <c r="K778" s="264"/>
      <c r="L778" s="363"/>
    </row>
    <row r="779" spans="1:12" ht="20.25" customHeight="1" x14ac:dyDescent="0.2">
      <c r="A779" s="114">
        <v>774</v>
      </c>
      <c r="B779" s="1" t="s">
        <v>1662</v>
      </c>
      <c r="C779" s="6" t="s">
        <v>5587</v>
      </c>
      <c r="D779" s="7" t="s">
        <v>1663</v>
      </c>
      <c r="E779" s="2" t="s">
        <v>1661</v>
      </c>
      <c r="F779" s="99" t="s">
        <v>11</v>
      </c>
      <c r="G779" s="121">
        <v>100</v>
      </c>
      <c r="H779" s="122">
        <f t="shared" si="24"/>
        <v>400</v>
      </c>
      <c r="I779" s="520">
        <f>+(0+325)/4</f>
        <v>81.25</v>
      </c>
      <c r="J779" s="514">
        <f t="shared" si="25"/>
        <v>481.25</v>
      </c>
      <c r="K779" s="262"/>
      <c r="L779" s="267"/>
    </row>
    <row r="780" spans="1:12" ht="20.25" customHeight="1" x14ac:dyDescent="0.2">
      <c r="A780" s="114">
        <v>775</v>
      </c>
      <c r="B780" s="1" t="s">
        <v>1664</v>
      </c>
      <c r="C780" s="6" t="s">
        <v>5588</v>
      </c>
      <c r="D780" s="7" t="s">
        <v>1665</v>
      </c>
      <c r="E780" s="2" t="s">
        <v>1661</v>
      </c>
      <c r="F780" s="99" t="s">
        <v>14</v>
      </c>
      <c r="G780" s="121">
        <v>50</v>
      </c>
      <c r="H780" s="122">
        <f t="shared" si="24"/>
        <v>450</v>
      </c>
      <c r="I780" s="520">
        <f>+(0+325)/4</f>
        <v>81.25</v>
      </c>
      <c r="J780" s="514">
        <f t="shared" si="25"/>
        <v>531.25</v>
      </c>
      <c r="K780" s="262"/>
      <c r="L780" s="267"/>
    </row>
    <row r="781" spans="1:12" ht="20.25" customHeight="1" thickBot="1" x14ac:dyDescent="0.25">
      <c r="A781" s="117">
        <v>776</v>
      </c>
      <c r="B781" s="3" t="s">
        <v>1666</v>
      </c>
      <c r="C781" s="8" t="s">
        <v>5475</v>
      </c>
      <c r="D781" s="9" t="s">
        <v>1667</v>
      </c>
      <c r="E781" s="4" t="s">
        <v>1661</v>
      </c>
      <c r="F781" s="101" t="s">
        <v>17</v>
      </c>
      <c r="G781" s="128">
        <v>100</v>
      </c>
      <c r="H781" s="157">
        <f t="shared" si="24"/>
        <v>400</v>
      </c>
      <c r="I781" s="522">
        <f>+(0+325)/4</f>
        <v>81.25</v>
      </c>
      <c r="J781" s="519">
        <f t="shared" si="25"/>
        <v>481.25</v>
      </c>
      <c r="K781" s="268"/>
      <c r="L781" s="269"/>
    </row>
    <row r="782" spans="1:12" ht="20.25" customHeight="1" x14ac:dyDescent="0.2">
      <c r="A782" s="108">
        <v>777</v>
      </c>
      <c r="B782" s="171" t="s">
        <v>1668</v>
      </c>
      <c r="C782" s="110" t="s">
        <v>5018</v>
      </c>
      <c r="D782" s="111" t="s">
        <v>1669</v>
      </c>
      <c r="E782" s="112" t="s">
        <v>1670</v>
      </c>
      <c r="F782" s="113" t="s">
        <v>8</v>
      </c>
      <c r="G782" s="119">
        <v>100</v>
      </c>
      <c r="H782" s="120">
        <f t="shared" si="24"/>
        <v>400</v>
      </c>
      <c r="I782" s="511">
        <f>+(955+1285)/4</f>
        <v>560</v>
      </c>
      <c r="J782" s="512">
        <f t="shared" si="25"/>
        <v>960</v>
      </c>
      <c r="K782" s="260"/>
      <c r="L782" s="365"/>
    </row>
    <row r="783" spans="1:12" ht="20.25" customHeight="1" x14ac:dyDescent="0.2">
      <c r="A783" s="114">
        <v>778</v>
      </c>
      <c r="B783" s="1" t="s">
        <v>1671</v>
      </c>
      <c r="C783" s="6" t="s">
        <v>5257</v>
      </c>
      <c r="D783" s="7" t="s">
        <v>1672</v>
      </c>
      <c r="E783" s="2" t="s">
        <v>1670</v>
      </c>
      <c r="F783" s="99" t="s">
        <v>11</v>
      </c>
      <c r="G783" s="121">
        <v>100</v>
      </c>
      <c r="H783" s="122">
        <f t="shared" si="24"/>
        <v>400</v>
      </c>
      <c r="I783" s="520">
        <f>+(955+1285)/4</f>
        <v>560</v>
      </c>
      <c r="J783" s="514">
        <f t="shared" si="25"/>
        <v>960</v>
      </c>
      <c r="K783" s="262"/>
      <c r="L783" s="267"/>
    </row>
    <row r="784" spans="1:12" ht="20.25" customHeight="1" x14ac:dyDescent="0.2">
      <c r="A784" s="114">
        <v>779</v>
      </c>
      <c r="B784" s="1" t="s">
        <v>1673</v>
      </c>
      <c r="C784" s="6" t="s">
        <v>5589</v>
      </c>
      <c r="D784" s="7" t="s">
        <v>1674</v>
      </c>
      <c r="E784" s="2" t="s">
        <v>1670</v>
      </c>
      <c r="F784" s="99" t="s">
        <v>14</v>
      </c>
      <c r="G784" s="121">
        <v>50</v>
      </c>
      <c r="H784" s="122">
        <f t="shared" si="24"/>
        <v>450</v>
      </c>
      <c r="I784" s="520">
        <f>+(955+1285)/4</f>
        <v>560</v>
      </c>
      <c r="J784" s="514">
        <f t="shared" si="25"/>
        <v>1010</v>
      </c>
      <c r="K784" s="262"/>
      <c r="L784" s="267"/>
    </row>
    <row r="785" spans="1:36" ht="20.25" customHeight="1" thickBot="1" x14ac:dyDescent="0.25">
      <c r="A785" s="158">
        <v>780</v>
      </c>
      <c r="B785" s="159" t="s">
        <v>1675</v>
      </c>
      <c r="C785" s="160" t="s">
        <v>5590</v>
      </c>
      <c r="D785" s="161" t="s">
        <v>1676</v>
      </c>
      <c r="E785" s="162" t="s">
        <v>1670</v>
      </c>
      <c r="F785" s="163" t="s">
        <v>17</v>
      </c>
      <c r="G785" s="164">
        <v>100</v>
      </c>
      <c r="H785" s="153">
        <f t="shared" si="24"/>
        <v>400</v>
      </c>
      <c r="I785" s="521">
        <f>+(955+1285)/4</f>
        <v>560</v>
      </c>
      <c r="J785" s="516">
        <f t="shared" si="25"/>
        <v>960</v>
      </c>
      <c r="K785" s="277"/>
      <c r="L785" s="364"/>
    </row>
    <row r="786" spans="1:36" s="37" customFormat="1" ht="20.25" customHeight="1" x14ac:dyDescent="0.2">
      <c r="A786" s="405">
        <v>781</v>
      </c>
      <c r="B786" s="235" t="s">
        <v>1677</v>
      </c>
      <c r="C786" s="236" t="s">
        <v>5591</v>
      </c>
      <c r="D786" s="237" t="s">
        <v>1678</v>
      </c>
      <c r="E786" s="238" t="s">
        <v>1679</v>
      </c>
      <c r="F786" s="239" t="s">
        <v>8</v>
      </c>
      <c r="G786" s="240">
        <v>150</v>
      </c>
      <c r="H786" s="245">
        <f t="shared" si="24"/>
        <v>350</v>
      </c>
      <c r="I786" s="536">
        <f>+(430+485)/4</f>
        <v>228.75</v>
      </c>
      <c r="J786" s="537">
        <f t="shared" si="25"/>
        <v>578.75</v>
      </c>
      <c r="K786" s="406" t="s">
        <v>4996</v>
      </c>
      <c r="L786" s="363">
        <v>6280</v>
      </c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</row>
    <row r="787" spans="1:36" ht="20.25" customHeight="1" x14ac:dyDescent="0.2">
      <c r="A787" s="114">
        <v>782</v>
      </c>
      <c r="B787" s="1" t="s">
        <v>1680</v>
      </c>
      <c r="C787" s="6" t="s">
        <v>5592</v>
      </c>
      <c r="D787" s="7" t="s">
        <v>1681</v>
      </c>
      <c r="E787" s="2" t="s">
        <v>1679</v>
      </c>
      <c r="F787" s="99" t="s">
        <v>11</v>
      </c>
      <c r="G787" s="121">
        <v>100</v>
      </c>
      <c r="H787" s="122">
        <f t="shared" si="24"/>
        <v>400</v>
      </c>
      <c r="I787" s="520">
        <f>+(430+485)/4</f>
        <v>228.75</v>
      </c>
      <c r="J787" s="514">
        <f t="shared" si="25"/>
        <v>628.75</v>
      </c>
      <c r="K787" s="262"/>
      <c r="L787" s="267"/>
    </row>
    <row r="788" spans="1:36" ht="20.25" customHeight="1" x14ac:dyDescent="0.2">
      <c r="A788" s="114">
        <v>783</v>
      </c>
      <c r="B788" s="1" t="s">
        <v>1682</v>
      </c>
      <c r="C788" s="6" t="s">
        <v>5324</v>
      </c>
      <c r="D788" s="7" t="s">
        <v>1683</v>
      </c>
      <c r="E788" s="2" t="s">
        <v>1679</v>
      </c>
      <c r="F788" s="99" t="s">
        <v>14</v>
      </c>
      <c r="G788" s="121">
        <v>50</v>
      </c>
      <c r="H788" s="122">
        <f t="shared" si="24"/>
        <v>450</v>
      </c>
      <c r="I788" s="520">
        <f>+(430+485)/4</f>
        <v>228.75</v>
      </c>
      <c r="J788" s="514">
        <f t="shared" si="25"/>
        <v>678.75</v>
      </c>
      <c r="K788" s="262"/>
      <c r="L788" s="267"/>
    </row>
    <row r="789" spans="1:36" ht="20.25" customHeight="1" thickBot="1" x14ac:dyDescent="0.25">
      <c r="A789" s="117">
        <v>784</v>
      </c>
      <c r="B789" s="3" t="s">
        <v>1684</v>
      </c>
      <c r="C789" s="8" t="s">
        <v>5593</v>
      </c>
      <c r="D789" s="9" t="s">
        <v>1685</v>
      </c>
      <c r="E789" s="4" t="s">
        <v>1679</v>
      </c>
      <c r="F789" s="101" t="s">
        <v>17</v>
      </c>
      <c r="G789" s="128">
        <v>50</v>
      </c>
      <c r="H789" s="157">
        <f t="shared" si="24"/>
        <v>450</v>
      </c>
      <c r="I789" s="522">
        <f>+(430+485)/4</f>
        <v>228.75</v>
      </c>
      <c r="J789" s="519">
        <f t="shared" si="25"/>
        <v>678.75</v>
      </c>
      <c r="K789" s="268"/>
      <c r="L789" s="269"/>
    </row>
    <row r="790" spans="1:36" ht="20.25" customHeight="1" x14ac:dyDescent="0.2">
      <c r="A790" s="108">
        <v>785</v>
      </c>
      <c r="B790" s="171" t="s">
        <v>1686</v>
      </c>
      <c r="C790" s="110" t="s">
        <v>5510</v>
      </c>
      <c r="D790" s="111" t="s">
        <v>1687</v>
      </c>
      <c r="E790" s="112" t="s">
        <v>1688</v>
      </c>
      <c r="F790" s="113" t="s">
        <v>8</v>
      </c>
      <c r="G790" s="119">
        <v>50</v>
      </c>
      <c r="H790" s="120">
        <f t="shared" si="24"/>
        <v>450</v>
      </c>
      <c r="I790" s="511">
        <f>+(645+960)/4</f>
        <v>401.25</v>
      </c>
      <c r="J790" s="512">
        <f t="shared" si="25"/>
        <v>851.25</v>
      </c>
      <c r="K790" s="260"/>
      <c r="L790" s="365"/>
    </row>
    <row r="791" spans="1:36" s="37" customFormat="1" ht="19.5" customHeight="1" x14ac:dyDescent="0.2">
      <c r="A791" s="116">
        <v>786</v>
      </c>
      <c r="B791" s="46" t="s">
        <v>1689</v>
      </c>
      <c r="C791" s="29" t="s">
        <v>5453</v>
      </c>
      <c r="D791" s="28" t="s">
        <v>1690</v>
      </c>
      <c r="E791" s="30" t="s">
        <v>1688</v>
      </c>
      <c r="F791" s="73" t="s">
        <v>11</v>
      </c>
      <c r="G791" s="126">
        <v>100</v>
      </c>
      <c r="H791" s="127">
        <f t="shared" si="24"/>
        <v>400</v>
      </c>
      <c r="I791" s="523">
        <f>+(645+960)/4</f>
        <v>401.25</v>
      </c>
      <c r="J791" s="524">
        <f t="shared" si="25"/>
        <v>801.25</v>
      </c>
      <c r="K791" s="266" t="s">
        <v>4996</v>
      </c>
      <c r="L791" s="267">
        <v>6280</v>
      </c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</row>
    <row r="792" spans="1:36" ht="20.25" customHeight="1" x14ac:dyDescent="0.2">
      <c r="A792" s="114">
        <v>787</v>
      </c>
      <c r="B792" s="1" t="s">
        <v>1691</v>
      </c>
      <c r="C792" s="6" t="s">
        <v>5225</v>
      </c>
      <c r="D792" s="7" t="s">
        <v>1692</v>
      </c>
      <c r="E792" s="2" t="s">
        <v>1688</v>
      </c>
      <c r="F792" s="99" t="s">
        <v>14</v>
      </c>
      <c r="G792" s="121">
        <v>50</v>
      </c>
      <c r="H792" s="122">
        <f t="shared" si="24"/>
        <v>450</v>
      </c>
      <c r="I792" s="520">
        <f>+(645+960)/4</f>
        <v>401.25</v>
      </c>
      <c r="J792" s="514">
        <f t="shared" si="25"/>
        <v>851.25</v>
      </c>
      <c r="K792" s="262"/>
      <c r="L792" s="267"/>
    </row>
    <row r="793" spans="1:36" ht="20.25" customHeight="1" thickBot="1" x14ac:dyDescent="0.25">
      <c r="A793" s="158">
        <v>788</v>
      </c>
      <c r="B793" s="159" t="s">
        <v>1693</v>
      </c>
      <c r="C793" s="160" t="s">
        <v>5594</v>
      </c>
      <c r="D793" s="161" t="s">
        <v>1694</v>
      </c>
      <c r="E793" s="162" t="s">
        <v>1688</v>
      </c>
      <c r="F793" s="163" t="s">
        <v>17</v>
      </c>
      <c r="G793" s="164">
        <v>50</v>
      </c>
      <c r="H793" s="153">
        <f t="shared" si="24"/>
        <v>450</v>
      </c>
      <c r="I793" s="521">
        <f>+(645+960)/4</f>
        <v>401.25</v>
      </c>
      <c r="J793" s="516">
        <f t="shared" si="25"/>
        <v>851.25</v>
      </c>
      <c r="K793" s="277"/>
      <c r="L793" s="364"/>
    </row>
    <row r="794" spans="1:36" ht="20.25" customHeight="1" x14ac:dyDescent="0.2">
      <c r="A794" s="115">
        <v>789</v>
      </c>
      <c r="B794" s="64" t="s">
        <v>1695</v>
      </c>
      <c r="C794" s="65" t="s">
        <v>5324</v>
      </c>
      <c r="D794" s="66" t="s">
        <v>1696</v>
      </c>
      <c r="E794" s="67" t="s">
        <v>1697</v>
      </c>
      <c r="F794" s="98" t="s">
        <v>8</v>
      </c>
      <c r="G794" s="123">
        <v>50</v>
      </c>
      <c r="H794" s="124">
        <f t="shared" si="24"/>
        <v>450</v>
      </c>
      <c r="I794" s="513">
        <f>+(660+945)/4</f>
        <v>401.25</v>
      </c>
      <c r="J794" s="517">
        <f t="shared" si="25"/>
        <v>851.25</v>
      </c>
      <c r="K794" s="264"/>
      <c r="L794" s="363"/>
    </row>
    <row r="795" spans="1:36" ht="20.25" customHeight="1" x14ac:dyDescent="0.2">
      <c r="A795" s="114">
        <v>790</v>
      </c>
      <c r="B795" s="1" t="s">
        <v>1698</v>
      </c>
      <c r="C795" s="6" t="s">
        <v>5595</v>
      </c>
      <c r="D795" s="7" t="s">
        <v>1699</v>
      </c>
      <c r="E795" s="2" t="s">
        <v>1697</v>
      </c>
      <c r="F795" s="99" t="s">
        <v>11</v>
      </c>
      <c r="G795" s="121">
        <v>50</v>
      </c>
      <c r="H795" s="122">
        <f t="shared" si="24"/>
        <v>450</v>
      </c>
      <c r="I795" s="520">
        <f>+(660+945)/4</f>
        <v>401.25</v>
      </c>
      <c r="J795" s="514">
        <f t="shared" si="25"/>
        <v>851.25</v>
      </c>
      <c r="K795" s="262"/>
      <c r="L795" s="267"/>
    </row>
    <row r="796" spans="1:36" ht="20.25" customHeight="1" x14ac:dyDescent="0.2">
      <c r="A796" s="114">
        <v>791</v>
      </c>
      <c r="B796" s="1" t="s">
        <v>1700</v>
      </c>
      <c r="C796" s="6" t="s">
        <v>5172</v>
      </c>
      <c r="D796" s="7" t="s">
        <v>1701</v>
      </c>
      <c r="E796" s="2" t="s">
        <v>1697</v>
      </c>
      <c r="F796" s="99" t="s">
        <v>14</v>
      </c>
      <c r="G796" s="121">
        <v>100</v>
      </c>
      <c r="H796" s="122">
        <f t="shared" si="24"/>
        <v>400</v>
      </c>
      <c r="I796" s="520">
        <f>+(660+945)/4</f>
        <v>401.25</v>
      </c>
      <c r="J796" s="514">
        <f t="shared" si="25"/>
        <v>801.25</v>
      </c>
      <c r="K796" s="262"/>
      <c r="L796" s="267"/>
    </row>
    <row r="797" spans="1:36" ht="20.25" customHeight="1" thickBot="1" x14ac:dyDescent="0.25">
      <c r="A797" s="117">
        <v>792</v>
      </c>
      <c r="B797" s="3" t="s">
        <v>1702</v>
      </c>
      <c r="C797" s="8" t="s">
        <v>5198</v>
      </c>
      <c r="D797" s="9" t="s">
        <v>1703</v>
      </c>
      <c r="E797" s="4" t="s">
        <v>1697</v>
      </c>
      <c r="F797" s="101" t="s">
        <v>17</v>
      </c>
      <c r="G797" s="128">
        <v>50</v>
      </c>
      <c r="H797" s="157">
        <f t="shared" si="24"/>
        <v>450</v>
      </c>
      <c r="I797" s="522">
        <f>+(660+945)/4</f>
        <v>401.25</v>
      </c>
      <c r="J797" s="519">
        <f t="shared" si="25"/>
        <v>851.25</v>
      </c>
      <c r="K797" s="268"/>
      <c r="L797" s="269"/>
    </row>
    <row r="798" spans="1:36" ht="20.25" customHeight="1" x14ac:dyDescent="0.2">
      <c r="A798" s="108">
        <v>793</v>
      </c>
      <c r="B798" s="171" t="s">
        <v>1704</v>
      </c>
      <c r="C798" s="110" t="s">
        <v>5596</v>
      </c>
      <c r="D798" s="111" t="s">
        <v>1705</v>
      </c>
      <c r="E798" s="112" t="s">
        <v>1706</v>
      </c>
      <c r="F798" s="113" t="s">
        <v>8</v>
      </c>
      <c r="G798" s="119">
        <v>50</v>
      </c>
      <c r="H798" s="120">
        <f t="shared" si="24"/>
        <v>450</v>
      </c>
      <c r="I798" s="511">
        <f>+(530+985)/4</f>
        <v>378.75</v>
      </c>
      <c r="J798" s="512">
        <f t="shared" si="25"/>
        <v>828.75</v>
      </c>
      <c r="K798" s="260"/>
      <c r="L798" s="365"/>
    </row>
    <row r="799" spans="1:36" ht="20.25" customHeight="1" x14ac:dyDescent="0.2">
      <c r="A799" s="114">
        <v>794</v>
      </c>
      <c r="B799" s="1" t="s">
        <v>1707</v>
      </c>
      <c r="C799" s="6" t="s">
        <v>5597</v>
      </c>
      <c r="D799" s="7" t="s">
        <v>1708</v>
      </c>
      <c r="E799" s="2" t="s">
        <v>1706</v>
      </c>
      <c r="F799" s="99" t="s">
        <v>11</v>
      </c>
      <c r="G799" s="121">
        <v>100</v>
      </c>
      <c r="H799" s="122">
        <f t="shared" si="24"/>
        <v>400</v>
      </c>
      <c r="I799" s="520">
        <f>+(530+985)/4</f>
        <v>378.75</v>
      </c>
      <c r="J799" s="514">
        <f t="shared" si="25"/>
        <v>778.75</v>
      </c>
      <c r="K799" s="262"/>
      <c r="L799" s="267"/>
    </row>
    <row r="800" spans="1:36" ht="20.25" customHeight="1" x14ac:dyDescent="0.2">
      <c r="A800" s="114">
        <v>795</v>
      </c>
      <c r="B800" s="1" t="s">
        <v>1709</v>
      </c>
      <c r="C800" s="6" t="s">
        <v>5530</v>
      </c>
      <c r="D800" s="7" t="s">
        <v>1710</v>
      </c>
      <c r="E800" s="2" t="s">
        <v>1706</v>
      </c>
      <c r="F800" s="99" t="s">
        <v>14</v>
      </c>
      <c r="G800" s="121">
        <v>50</v>
      </c>
      <c r="H800" s="122">
        <f t="shared" si="24"/>
        <v>450</v>
      </c>
      <c r="I800" s="520">
        <f>+(530+985)/4</f>
        <v>378.75</v>
      </c>
      <c r="J800" s="514">
        <f t="shared" si="25"/>
        <v>828.75</v>
      </c>
      <c r="K800" s="262"/>
      <c r="L800" s="267"/>
    </row>
    <row r="801" spans="1:12" ht="20.25" customHeight="1" thickBot="1" x14ac:dyDescent="0.25">
      <c r="A801" s="158">
        <v>796</v>
      </c>
      <c r="B801" s="159" t="s">
        <v>1711</v>
      </c>
      <c r="C801" s="160" t="s">
        <v>5598</v>
      </c>
      <c r="D801" s="161" t="s">
        <v>1712</v>
      </c>
      <c r="E801" s="162" t="s">
        <v>1706</v>
      </c>
      <c r="F801" s="163" t="s">
        <v>17</v>
      </c>
      <c r="G801" s="164">
        <v>50</v>
      </c>
      <c r="H801" s="153">
        <f t="shared" si="24"/>
        <v>450</v>
      </c>
      <c r="I801" s="521">
        <f>+(530+985)/4</f>
        <v>378.75</v>
      </c>
      <c r="J801" s="516">
        <f t="shared" si="25"/>
        <v>828.75</v>
      </c>
      <c r="K801" s="277"/>
      <c r="L801" s="364"/>
    </row>
    <row r="802" spans="1:12" ht="20.25" customHeight="1" x14ac:dyDescent="0.2">
      <c r="A802" s="115">
        <v>797</v>
      </c>
      <c r="B802" s="64" t="s">
        <v>1713</v>
      </c>
      <c r="C802" s="65" t="s">
        <v>5599</v>
      </c>
      <c r="D802" s="66" t="s">
        <v>1714</v>
      </c>
      <c r="E802" s="67" t="s">
        <v>1715</v>
      </c>
      <c r="F802" s="98" t="s">
        <v>8</v>
      </c>
      <c r="G802" s="123">
        <v>400</v>
      </c>
      <c r="H802" s="124">
        <f t="shared" si="24"/>
        <v>100</v>
      </c>
      <c r="I802" s="513">
        <f>+(1190+1470)/4</f>
        <v>665</v>
      </c>
      <c r="J802" s="517">
        <f t="shared" si="25"/>
        <v>765</v>
      </c>
      <c r="K802" s="264"/>
      <c r="L802" s="363"/>
    </row>
    <row r="803" spans="1:12" ht="20.25" customHeight="1" x14ac:dyDescent="0.2">
      <c r="A803" s="114">
        <v>798</v>
      </c>
      <c r="B803" s="1" t="s">
        <v>1716</v>
      </c>
      <c r="C803" s="6" t="s">
        <v>5149</v>
      </c>
      <c r="D803" s="7" t="s">
        <v>1717</v>
      </c>
      <c r="E803" s="2" t="s">
        <v>1715</v>
      </c>
      <c r="F803" s="99" t="s">
        <v>11</v>
      </c>
      <c r="G803" s="121">
        <v>100</v>
      </c>
      <c r="H803" s="122">
        <f t="shared" si="24"/>
        <v>400</v>
      </c>
      <c r="I803" s="520">
        <f>+(1190+1470)/4</f>
        <v>665</v>
      </c>
      <c r="J803" s="514">
        <f t="shared" si="25"/>
        <v>1065</v>
      </c>
      <c r="K803" s="262"/>
      <c r="L803" s="267"/>
    </row>
    <row r="804" spans="1:12" ht="20.25" customHeight="1" x14ac:dyDescent="0.2">
      <c r="A804" s="114">
        <v>799</v>
      </c>
      <c r="B804" s="1" t="s">
        <v>1718</v>
      </c>
      <c r="C804" s="6" t="s">
        <v>5047</v>
      </c>
      <c r="D804" s="7" t="s">
        <v>1719</v>
      </c>
      <c r="E804" s="2" t="s">
        <v>1715</v>
      </c>
      <c r="F804" s="99" t="s">
        <v>14</v>
      </c>
      <c r="G804" s="121">
        <v>150</v>
      </c>
      <c r="H804" s="122">
        <f t="shared" si="24"/>
        <v>350</v>
      </c>
      <c r="I804" s="520">
        <f>+(1190+1470)/4</f>
        <v>665</v>
      </c>
      <c r="J804" s="514">
        <f t="shared" si="25"/>
        <v>1015</v>
      </c>
      <c r="K804" s="262"/>
      <c r="L804" s="267"/>
    </row>
    <row r="805" spans="1:12" ht="20.25" customHeight="1" thickBot="1" x14ac:dyDescent="0.25">
      <c r="A805" s="158">
        <v>800</v>
      </c>
      <c r="B805" s="159" t="s">
        <v>1720</v>
      </c>
      <c r="C805" s="160" t="s">
        <v>5029</v>
      </c>
      <c r="D805" s="161" t="s">
        <v>1721</v>
      </c>
      <c r="E805" s="162" t="s">
        <v>1715</v>
      </c>
      <c r="F805" s="163" t="s">
        <v>17</v>
      </c>
      <c r="G805" s="164">
        <v>150</v>
      </c>
      <c r="H805" s="153">
        <f t="shared" si="24"/>
        <v>350</v>
      </c>
      <c r="I805" s="521">
        <f>+(1190+1470)/4</f>
        <v>665</v>
      </c>
      <c r="J805" s="516">
        <f t="shared" si="25"/>
        <v>1015</v>
      </c>
      <c r="K805" s="277"/>
      <c r="L805" s="364"/>
    </row>
    <row r="806" spans="1:12" ht="20.25" customHeight="1" x14ac:dyDescent="0.2">
      <c r="A806" s="108">
        <v>801</v>
      </c>
      <c r="B806" s="171" t="s">
        <v>1722</v>
      </c>
      <c r="C806" s="110" t="s">
        <v>5028</v>
      </c>
      <c r="D806" s="111" t="s">
        <v>1723</v>
      </c>
      <c r="E806" s="112" t="s">
        <v>1724</v>
      </c>
      <c r="F806" s="113" t="s">
        <v>8</v>
      </c>
      <c r="G806" s="119">
        <v>50</v>
      </c>
      <c r="H806" s="120">
        <f t="shared" si="24"/>
        <v>450</v>
      </c>
      <c r="I806" s="511">
        <f>+(595+935)/4</f>
        <v>382.5</v>
      </c>
      <c r="J806" s="512">
        <f t="shared" si="25"/>
        <v>832.5</v>
      </c>
      <c r="K806" s="260"/>
      <c r="L806" s="365"/>
    </row>
    <row r="807" spans="1:12" ht="20.25" customHeight="1" x14ac:dyDescent="0.2">
      <c r="A807" s="114">
        <v>802</v>
      </c>
      <c r="B807" s="1" t="s">
        <v>1725</v>
      </c>
      <c r="C807" s="6" t="s">
        <v>5600</v>
      </c>
      <c r="D807" s="7" t="s">
        <v>1726</v>
      </c>
      <c r="E807" s="2" t="s">
        <v>1724</v>
      </c>
      <c r="F807" s="99" t="s">
        <v>11</v>
      </c>
      <c r="G807" s="121">
        <v>50</v>
      </c>
      <c r="H807" s="122">
        <f t="shared" si="24"/>
        <v>450</v>
      </c>
      <c r="I807" s="520">
        <f>+(595+935)/4</f>
        <v>382.5</v>
      </c>
      <c r="J807" s="514">
        <f t="shared" si="25"/>
        <v>832.5</v>
      </c>
      <c r="K807" s="262"/>
      <c r="L807" s="267"/>
    </row>
    <row r="808" spans="1:12" ht="20.25" customHeight="1" x14ac:dyDescent="0.2">
      <c r="A808" s="114">
        <v>803</v>
      </c>
      <c r="B808" s="1" t="s">
        <v>1727</v>
      </c>
      <c r="C808" s="6" t="s">
        <v>5259</v>
      </c>
      <c r="D808" s="7" t="s">
        <v>1728</v>
      </c>
      <c r="E808" s="2" t="s">
        <v>1724</v>
      </c>
      <c r="F808" s="99" t="s">
        <v>14</v>
      </c>
      <c r="G808" s="121">
        <v>50</v>
      </c>
      <c r="H808" s="122">
        <f t="shared" si="24"/>
        <v>450</v>
      </c>
      <c r="I808" s="520">
        <f>+(595+935)/4</f>
        <v>382.5</v>
      </c>
      <c r="J808" s="514">
        <f t="shared" si="25"/>
        <v>832.5</v>
      </c>
      <c r="K808" s="262"/>
      <c r="L808" s="267"/>
    </row>
    <row r="809" spans="1:12" ht="20.25" customHeight="1" thickBot="1" x14ac:dyDescent="0.25">
      <c r="A809" s="158">
        <v>804</v>
      </c>
      <c r="B809" s="159" t="s">
        <v>1729</v>
      </c>
      <c r="C809" s="160" t="s">
        <v>5148</v>
      </c>
      <c r="D809" s="161" t="s">
        <v>1730</v>
      </c>
      <c r="E809" s="162" t="s">
        <v>1724</v>
      </c>
      <c r="F809" s="163" t="s">
        <v>17</v>
      </c>
      <c r="G809" s="164">
        <v>100</v>
      </c>
      <c r="H809" s="153">
        <f t="shared" si="24"/>
        <v>400</v>
      </c>
      <c r="I809" s="521">
        <f>+(595+935)/4</f>
        <v>382.5</v>
      </c>
      <c r="J809" s="516">
        <f t="shared" si="25"/>
        <v>782.5</v>
      </c>
      <c r="K809" s="277"/>
      <c r="L809" s="364"/>
    </row>
    <row r="810" spans="1:12" ht="20.25" customHeight="1" x14ac:dyDescent="0.2">
      <c r="A810" s="108">
        <v>805</v>
      </c>
      <c r="B810" s="174" t="s">
        <v>1731</v>
      </c>
      <c r="C810" s="175" t="s">
        <v>5110</v>
      </c>
      <c r="D810" s="176" t="s">
        <v>1732</v>
      </c>
      <c r="E810" s="177" t="s">
        <v>1733</v>
      </c>
      <c r="F810" s="178" t="s">
        <v>8</v>
      </c>
      <c r="G810" s="179">
        <v>50</v>
      </c>
      <c r="H810" s="120">
        <f t="shared" si="24"/>
        <v>450</v>
      </c>
      <c r="I810" s="511">
        <f>+(175+915)/4</f>
        <v>272.5</v>
      </c>
      <c r="J810" s="512">
        <f t="shared" si="25"/>
        <v>722.5</v>
      </c>
      <c r="K810" s="260"/>
      <c r="L810" s="365"/>
    </row>
    <row r="811" spans="1:12" ht="20.25" customHeight="1" x14ac:dyDescent="0.2">
      <c r="A811" s="114">
        <v>806</v>
      </c>
      <c r="B811" s="47"/>
      <c r="C811" s="10" t="s">
        <v>5022</v>
      </c>
      <c r="D811" s="11" t="s">
        <v>4882</v>
      </c>
      <c r="E811" s="5" t="s">
        <v>1733</v>
      </c>
      <c r="F811" s="100" t="s">
        <v>11</v>
      </c>
      <c r="G811" s="125">
        <v>50</v>
      </c>
      <c r="H811" s="122">
        <f t="shared" si="24"/>
        <v>450</v>
      </c>
      <c r="I811" s="520">
        <f>+(175+915)/4</f>
        <v>272.5</v>
      </c>
      <c r="J811" s="514">
        <f t="shared" si="25"/>
        <v>722.5</v>
      </c>
      <c r="K811" s="262"/>
      <c r="L811" s="267"/>
    </row>
    <row r="812" spans="1:12" ht="20.25" customHeight="1" x14ac:dyDescent="0.2">
      <c r="A812" s="114">
        <v>807</v>
      </c>
      <c r="B812" s="47" t="s">
        <v>1734</v>
      </c>
      <c r="C812" s="10" t="s">
        <v>5102</v>
      </c>
      <c r="D812" s="11" t="s">
        <v>1735</v>
      </c>
      <c r="E812" s="5" t="s">
        <v>1733</v>
      </c>
      <c r="F812" s="100" t="s">
        <v>14</v>
      </c>
      <c r="G812" s="125">
        <v>100</v>
      </c>
      <c r="H812" s="122">
        <f t="shared" si="24"/>
        <v>400</v>
      </c>
      <c r="I812" s="520">
        <f>+(175+915)/4</f>
        <v>272.5</v>
      </c>
      <c r="J812" s="514">
        <f t="shared" si="25"/>
        <v>672.5</v>
      </c>
      <c r="K812" s="262"/>
      <c r="L812" s="267"/>
    </row>
    <row r="813" spans="1:12" ht="20.25" customHeight="1" thickBot="1" x14ac:dyDescent="0.25">
      <c r="A813" s="158">
        <v>808</v>
      </c>
      <c r="B813" s="192" t="s">
        <v>1736</v>
      </c>
      <c r="C813" s="193" t="s">
        <v>5601</v>
      </c>
      <c r="D813" s="194" t="s">
        <v>1737</v>
      </c>
      <c r="E813" s="195" t="s">
        <v>1733</v>
      </c>
      <c r="F813" s="196" t="s">
        <v>17</v>
      </c>
      <c r="G813" s="197">
        <v>100</v>
      </c>
      <c r="H813" s="153">
        <f t="shared" si="24"/>
        <v>400</v>
      </c>
      <c r="I813" s="521">
        <f>+(175+915)/4</f>
        <v>272.5</v>
      </c>
      <c r="J813" s="516">
        <f t="shared" si="25"/>
        <v>672.5</v>
      </c>
      <c r="K813" s="277"/>
      <c r="L813" s="364"/>
    </row>
    <row r="814" spans="1:12" ht="20.25" customHeight="1" x14ac:dyDescent="0.2">
      <c r="A814" s="115">
        <v>809</v>
      </c>
      <c r="B814" s="64" t="s">
        <v>1738</v>
      </c>
      <c r="C814" s="65" t="s">
        <v>5602</v>
      </c>
      <c r="D814" s="66" t="s">
        <v>1739</v>
      </c>
      <c r="E814" s="67" t="s">
        <v>1740</v>
      </c>
      <c r="F814" s="98" t="s">
        <v>8</v>
      </c>
      <c r="G814" s="123">
        <v>50</v>
      </c>
      <c r="H814" s="124">
        <f t="shared" si="24"/>
        <v>450</v>
      </c>
      <c r="I814" s="513">
        <f>+(820+150)/4</f>
        <v>242.5</v>
      </c>
      <c r="J814" s="517">
        <f t="shared" si="25"/>
        <v>692.5</v>
      </c>
      <c r="K814" s="264"/>
      <c r="L814" s="363"/>
    </row>
    <row r="815" spans="1:12" ht="20.25" customHeight="1" x14ac:dyDescent="0.2">
      <c r="A815" s="114">
        <v>810</v>
      </c>
      <c r="B815" s="1" t="s">
        <v>1741</v>
      </c>
      <c r="C815" s="6" t="s">
        <v>5098</v>
      </c>
      <c r="D815" s="7" t="s">
        <v>1742</v>
      </c>
      <c r="E815" s="2" t="s">
        <v>1740</v>
      </c>
      <c r="F815" s="99" t="s">
        <v>11</v>
      </c>
      <c r="G815" s="121">
        <v>50</v>
      </c>
      <c r="H815" s="122">
        <f t="shared" si="24"/>
        <v>450</v>
      </c>
      <c r="I815" s="520">
        <f>+(820+150)/4</f>
        <v>242.5</v>
      </c>
      <c r="J815" s="514">
        <f t="shared" si="25"/>
        <v>692.5</v>
      </c>
      <c r="K815" s="262"/>
      <c r="L815" s="267"/>
    </row>
    <row r="816" spans="1:12" ht="20.25" customHeight="1" x14ac:dyDescent="0.2">
      <c r="A816" s="114">
        <v>811</v>
      </c>
      <c r="B816" s="1" t="s">
        <v>1743</v>
      </c>
      <c r="C816" s="6" t="s">
        <v>5079</v>
      </c>
      <c r="D816" s="7" t="s">
        <v>1744</v>
      </c>
      <c r="E816" s="2" t="s">
        <v>1740</v>
      </c>
      <c r="F816" s="99" t="s">
        <v>14</v>
      </c>
      <c r="G816" s="121">
        <v>50</v>
      </c>
      <c r="H816" s="122">
        <f t="shared" si="24"/>
        <v>450</v>
      </c>
      <c r="I816" s="520">
        <f>+(820+150)/4</f>
        <v>242.5</v>
      </c>
      <c r="J816" s="514">
        <f t="shared" si="25"/>
        <v>692.5</v>
      </c>
      <c r="K816" s="262"/>
      <c r="L816" s="267"/>
    </row>
    <row r="817" spans="1:36" ht="20.25" customHeight="1" thickBot="1" x14ac:dyDescent="0.25">
      <c r="A817" s="117">
        <v>812</v>
      </c>
      <c r="B817" s="3" t="s">
        <v>1745</v>
      </c>
      <c r="C817" s="8" t="s">
        <v>5603</v>
      </c>
      <c r="D817" s="9" t="s">
        <v>1746</v>
      </c>
      <c r="E817" s="4" t="s">
        <v>1740</v>
      </c>
      <c r="F817" s="101" t="s">
        <v>17</v>
      </c>
      <c r="G817" s="128">
        <v>100</v>
      </c>
      <c r="H817" s="157">
        <f t="shared" si="24"/>
        <v>400</v>
      </c>
      <c r="I817" s="522">
        <f>+(820+150)/4</f>
        <v>242.5</v>
      </c>
      <c r="J817" s="519">
        <f t="shared" si="25"/>
        <v>642.5</v>
      </c>
      <c r="K817" s="268"/>
      <c r="L817" s="269"/>
    </row>
    <row r="818" spans="1:36" ht="20.25" customHeight="1" x14ac:dyDescent="0.2">
      <c r="A818" s="108">
        <v>813</v>
      </c>
      <c r="B818" s="171" t="s">
        <v>1747</v>
      </c>
      <c r="C818" s="110" t="s">
        <v>5604</v>
      </c>
      <c r="D818" s="111" t="s">
        <v>1748</v>
      </c>
      <c r="E818" s="112" t="s">
        <v>1749</v>
      </c>
      <c r="F818" s="113" t="s">
        <v>8</v>
      </c>
      <c r="G818" s="119">
        <v>50</v>
      </c>
      <c r="H818" s="120">
        <f t="shared" si="24"/>
        <v>450</v>
      </c>
      <c r="I818" s="511">
        <f>+(835+1325)/4</f>
        <v>540</v>
      </c>
      <c r="J818" s="512">
        <f t="shared" si="25"/>
        <v>990</v>
      </c>
      <c r="K818" s="260"/>
      <c r="L818" s="365"/>
    </row>
    <row r="819" spans="1:36" ht="20.25" customHeight="1" x14ac:dyDescent="0.2">
      <c r="A819" s="114">
        <v>814</v>
      </c>
      <c r="B819" s="1" t="s">
        <v>1750</v>
      </c>
      <c r="C819" s="6" t="s">
        <v>5605</v>
      </c>
      <c r="D819" s="7" t="s">
        <v>1751</v>
      </c>
      <c r="E819" s="2" t="s">
        <v>1749</v>
      </c>
      <c r="F819" s="99" t="s">
        <v>11</v>
      </c>
      <c r="G819" s="121">
        <v>50</v>
      </c>
      <c r="H819" s="122">
        <f t="shared" si="24"/>
        <v>450</v>
      </c>
      <c r="I819" s="520">
        <f>+(835+1325)/4</f>
        <v>540</v>
      </c>
      <c r="J819" s="514">
        <f t="shared" si="25"/>
        <v>990</v>
      </c>
      <c r="K819" s="262"/>
      <c r="L819" s="267"/>
    </row>
    <row r="820" spans="1:36" ht="20.25" customHeight="1" x14ac:dyDescent="0.2">
      <c r="A820" s="114">
        <v>815</v>
      </c>
      <c r="B820" s="1" t="s">
        <v>1752</v>
      </c>
      <c r="C820" s="6" t="s">
        <v>5038</v>
      </c>
      <c r="D820" s="7" t="s">
        <v>1753</v>
      </c>
      <c r="E820" s="2" t="s">
        <v>1749</v>
      </c>
      <c r="F820" s="99" t="s">
        <v>14</v>
      </c>
      <c r="G820" s="121">
        <v>50</v>
      </c>
      <c r="H820" s="122">
        <f t="shared" si="24"/>
        <v>450</v>
      </c>
      <c r="I820" s="520">
        <f>+(835+1325)/4</f>
        <v>540</v>
      </c>
      <c r="J820" s="514">
        <f t="shared" si="25"/>
        <v>990</v>
      </c>
      <c r="K820" s="262"/>
      <c r="L820" s="267"/>
    </row>
    <row r="821" spans="1:36" ht="20.25" customHeight="1" thickBot="1" x14ac:dyDescent="0.25">
      <c r="A821" s="158">
        <v>816</v>
      </c>
      <c r="B821" s="159" t="s">
        <v>1754</v>
      </c>
      <c r="C821" s="160" t="s">
        <v>5606</v>
      </c>
      <c r="D821" s="161" t="s">
        <v>1755</v>
      </c>
      <c r="E821" s="162" t="s">
        <v>1749</v>
      </c>
      <c r="F821" s="163" t="s">
        <v>17</v>
      </c>
      <c r="G821" s="164">
        <v>100</v>
      </c>
      <c r="H821" s="153">
        <f t="shared" si="24"/>
        <v>400</v>
      </c>
      <c r="I821" s="521">
        <f>+(835+1325)/4</f>
        <v>540</v>
      </c>
      <c r="J821" s="516">
        <f t="shared" si="25"/>
        <v>940</v>
      </c>
      <c r="K821" s="277"/>
      <c r="L821" s="364"/>
    </row>
    <row r="822" spans="1:36" ht="20.25" customHeight="1" x14ac:dyDescent="0.2">
      <c r="A822" s="115">
        <v>817</v>
      </c>
      <c r="B822" s="64" t="s">
        <v>1756</v>
      </c>
      <c r="C822" s="65" t="s">
        <v>5607</v>
      </c>
      <c r="D822" s="66" t="s">
        <v>1757</v>
      </c>
      <c r="E822" s="67" t="s">
        <v>1758</v>
      </c>
      <c r="F822" s="98" t="s">
        <v>8</v>
      </c>
      <c r="G822" s="123">
        <v>50</v>
      </c>
      <c r="H822" s="124">
        <f t="shared" si="24"/>
        <v>450</v>
      </c>
      <c r="I822" s="513">
        <f>+(750+770)/4</f>
        <v>380</v>
      </c>
      <c r="J822" s="517">
        <f t="shared" si="25"/>
        <v>830</v>
      </c>
      <c r="K822" s="264"/>
      <c r="L822" s="363"/>
    </row>
    <row r="823" spans="1:36" ht="20.25" customHeight="1" x14ac:dyDescent="0.2">
      <c r="A823" s="114">
        <v>818</v>
      </c>
      <c r="B823" s="1" t="s">
        <v>1759</v>
      </c>
      <c r="C823" s="6" t="s">
        <v>5182</v>
      </c>
      <c r="D823" s="7" t="s">
        <v>1760</v>
      </c>
      <c r="E823" s="2" t="s">
        <v>1758</v>
      </c>
      <c r="F823" s="99" t="s">
        <v>11</v>
      </c>
      <c r="G823" s="121">
        <v>100</v>
      </c>
      <c r="H823" s="122">
        <f t="shared" si="24"/>
        <v>400</v>
      </c>
      <c r="I823" s="520">
        <f>+(750+770)/4</f>
        <v>380</v>
      </c>
      <c r="J823" s="514">
        <f t="shared" si="25"/>
        <v>780</v>
      </c>
      <c r="K823" s="262"/>
      <c r="L823" s="267"/>
    </row>
    <row r="824" spans="1:36" ht="20.25" customHeight="1" x14ac:dyDescent="0.2">
      <c r="A824" s="114">
        <v>819</v>
      </c>
      <c r="B824" s="1" t="s">
        <v>1761</v>
      </c>
      <c r="C824" s="6" t="s">
        <v>5608</v>
      </c>
      <c r="D824" s="7" t="s">
        <v>1762</v>
      </c>
      <c r="E824" s="2" t="s">
        <v>1758</v>
      </c>
      <c r="F824" s="99" t="s">
        <v>14</v>
      </c>
      <c r="G824" s="121">
        <v>50</v>
      </c>
      <c r="H824" s="122">
        <f t="shared" si="24"/>
        <v>450</v>
      </c>
      <c r="I824" s="520">
        <f>+(750+770)/4</f>
        <v>380</v>
      </c>
      <c r="J824" s="514">
        <f t="shared" si="25"/>
        <v>830</v>
      </c>
      <c r="K824" s="262"/>
      <c r="L824" s="267"/>
    </row>
    <row r="825" spans="1:36" ht="20.25" customHeight="1" thickBot="1" x14ac:dyDescent="0.25">
      <c r="A825" s="117">
        <v>820</v>
      </c>
      <c r="B825" s="3" t="s">
        <v>1763</v>
      </c>
      <c r="C825" s="8" t="s">
        <v>5483</v>
      </c>
      <c r="D825" s="9" t="s">
        <v>1764</v>
      </c>
      <c r="E825" s="4" t="s">
        <v>1758</v>
      </c>
      <c r="F825" s="101" t="s">
        <v>17</v>
      </c>
      <c r="G825" s="128">
        <v>50</v>
      </c>
      <c r="H825" s="157">
        <f t="shared" si="24"/>
        <v>450</v>
      </c>
      <c r="I825" s="522">
        <f>+(750+770)/4</f>
        <v>380</v>
      </c>
      <c r="J825" s="519">
        <f t="shared" si="25"/>
        <v>830</v>
      </c>
      <c r="K825" s="268"/>
      <c r="L825" s="269"/>
    </row>
    <row r="826" spans="1:36" ht="20.25" customHeight="1" x14ac:dyDescent="0.2">
      <c r="A826" s="108">
        <v>821</v>
      </c>
      <c r="B826" s="171" t="s">
        <v>1765</v>
      </c>
      <c r="C826" s="110" t="s">
        <v>5609</v>
      </c>
      <c r="D826" s="111" t="s">
        <v>1766</v>
      </c>
      <c r="E826" s="112" t="s">
        <v>1767</v>
      </c>
      <c r="F826" s="113" t="s">
        <v>8</v>
      </c>
      <c r="G826" s="119">
        <v>50</v>
      </c>
      <c r="H826" s="120">
        <f t="shared" si="24"/>
        <v>450</v>
      </c>
      <c r="I826" s="511">
        <f>+(1170+1345)/4</f>
        <v>628.75</v>
      </c>
      <c r="J826" s="512">
        <f t="shared" si="25"/>
        <v>1078.75</v>
      </c>
      <c r="K826" s="260"/>
      <c r="L826" s="365"/>
    </row>
    <row r="827" spans="1:36" ht="20.25" customHeight="1" x14ac:dyDescent="0.2">
      <c r="A827" s="114">
        <v>822</v>
      </c>
      <c r="B827" s="1" t="s">
        <v>1768</v>
      </c>
      <c r="C827" s="6" t="s">
        <v>5610</v>
      </c>
      <c r="D827" s="7" t="s">
        <v>1769</v>
      </c>
      <c r="E827" s="2" t="s">
        <v>1767</v>
      </c>
      <c r="F827" s="99" t="s">
        <v>11</v>
      </c>
      <c r="G827" s="121">
        <v>100</v>
      </c>
      <c r="H827" s="122">
        <f t="shared" si="24"/>
        <v>400</v>
      </c>
      <c r="I827" s="520">
        <f>+(1170+1345)/4</f>
        <v>628.75</v>
      </c>
      <c r="J827" s="514">
        <f t="shared" si="25"/>
        <v>1028.75</v>
      </c>
      <c r="K827" s="262"/>
      <c r="L827" s="267"/>
    </row>
    <row r="828" spans="1:36" ht="20.25" customHeight="1" x14ac:dyDescent="0.2">
      <c r="A828" s="114">
        <v>823</v>
      </c>
      <c r="B828" s="1" t="s">
        <v>1770</v>
      </c>
      <c r="C828" s="6" t="s">
        <v>5046</v>
      </c>
      <c r="D828" s="7" t="s">
        <v>1771</v>
      </c>
      <c r="E828" s="2" t="s">
        <v>1767</v>
      </c>
      <c r="F828" s="99" t="s">
        <v>14</v>
      </c>
      <c r="G828" s="121">
        <v>50</v>
      </c>
      <c r="H828" s="122">
        <f t="shared" si="24"/>
        <v>450</v>
      </c>
      <c r="I828" s="520">
        <f>+(1170+1345)/4</f>
        <v>628.75</v>
      </c>
      <c r="J828" s="514">
        <f t="shared" si="25"/>
        <v>1078.75</v>
      </c>
      <c r="K828" s="262"/>
      <c r="L828" s="267"/>
    </row>
    <row r="829" spans="1:36" ht="20.25" customHeight="1" thickBot="1" x14ac:dyDescent="0.25">
      <c r="A829" s="158">
        <v>824</v>
      </c>
      <c r="B829" s="159" t="s">
        <v>1772</v>
      </c>
      <c r="C829" s="160" t="s">
        <v>5611</v>
      </c>
      <c r="D829" s="161" t="s">
        <v>1773</v>
      </c>
      <c r="E829" s="162" t="s">
        <v>1767</v>
      </c>
      <c r="F829" s="163" t="s">
        <v>17</v>
      </c>
      <c r="G829" s="164">
        <v>50</v>
      </c>
      <c r="H829" s="153">
        <f t="shared" si="24"/>
        <v>450</v>
      </c>
      <c r="I829" s="521">
        <f>+(1170+1345)/4</f>
        <v>628.75</v>
      </c>
      <c r="J829" s="516">
        <f t="shared" si="25"/>
        <v>1078.75</v>
      </c>
      <c r="K829" s="277"/>
      <c r="L829" s="364"/>
    </row>
    <row r="830" spans="1:36" s="37" customFormat="1" ht="20.25" customHeight="1" x14ac:dyDescent="0.2">
      <c r="A830" s="405">
        <v>825</v>
      </c>
      <c r="B830" s="235" t="s">
        <v>1774</v>
      </c>
      <c r="C830" s="236" t="s">
        <v>5056</v>
      </c>
      <c r="D830" s="237" t="s">
        <v>1775</v>
      </c>
      <c r="E830" s="238" t="s">
        <v>1776</v>
      </c>
      <c r="F830" s="239" t="s">
        <v>8</v>
      </c>
      <c r="G830" s="240">
        <v>150</v>
      </c>
      <c r="H830" s="245">
        <f t="shared" si="24"/>
        <v>350</v>
      </c>
      <c r="I830" s="536">
        <f>+(255+1120)/4</f>
        <v>343.75</v>
      </c>
      <c r="J830" s="537">
        <f t="shared" si="25"/>
        <v>693.75</v>
      </c>
      <c r="K830" s="406" t="s">
        <v>4996</v>
      </c>
      <c r="L830" s="363">
        <v>5500</v>
      </c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</row>
    <row r="831" spans="1:36" ht="20.25" customHeight="1" x14ac:dyDescent="0.2">
      <c r="A831" s="114">
        <v>826</v>
      </c>
      <c r="B831" s="1" t="s">
        <v>1777</v>
      </c>
      <c r="C831" s="6" t="s">
        <v>5083</v>
      </c>
      <c r="D831" s="7" t="s">
        <v>1778</v>
      </c>
      <c r="E831" s="2" t="s">
        <v>1776</v>
      </c>
      <c r="F831" s="99" t="s">
        <v>11</v>
      </c>
      <c r="G831" s="121">
        <v>50</v>
      </c>
      <c r="H831" s="122">
        <f t="shared" si="24"/>
        <v>450</v>
      </c>
      <c r="I831" s="520">
        <f>+(255+1120)/4</f>
        <v>343.75</v>
      </c>
      <c r="J831" s="514">
        <f t="shared" si="25"/>
        <v>793.75</v>
      </c>
      <c r="K831" s="262"/>
      <c r="L831" s="267"/>
    </row>
    <row r="832" spans="1:36" ht="20.25" customHeight="1" x14ac:dyDescent="0.2">
      <c r="A832" s="114">
        <v>827</v>
      </c>
      <c r="B832" s="1" t="s">
        <v>1779</v>
      </c>
      <c r="C832" s="6" t="s">
        <v>5612</v>
      </c>
      <c r="D832" s="7" t="s">
        <v>1780</v>
      </c>
      <c r="E832" s="2" t="s">
        <v>1776</v>
      </c>
      <c r="F832" s="99" t="s">
        <v>14</v>
      </c>
      <c r="G832" s="121">
        <v>50</v>
      </c>
      <c r="H832" s="122">
        <f t="shared" si="24"/>
        <v>450</v>
      </c>
      <c r="I832" s="520">
        <f>+(255+1120)/4</f>
        <v>343.75</v>
      </c>
      <c r="J832" s="514">
        <f t="shared" si="25"/>
        <v>793.75</v>
      </c>
      <c r="K832" s="262"/>
      <c r="L832" s="267"/>
    </row>
    <row r="833" spans="1:12" ht="20.25" customHeight="1" thickBot="1" x14ac:dyDescent="0.25">
      <c r="A833" s="117">
        <v>828</v>
      </c>
      <c r="B833" s="3" t="s">
        <v>1781</v>
      </c>
      <c r="C833" s="8" t="s">
        <v>5217</v>
      </c>
      <c r="D833" s="9" t="s">
        <v>387</v>
      </c>
      <c r="E833" s="4" t="s">
        <v>1776</v>
      </c>
      <c r="F833" s="101" t="s">
        <v>17</v>
      </c>
      <c r="G833" s="128">
        <v>400</v>
      </c>
      <c r="H833" s="157">
        <f t="shared" si="24"/>
        <v>100</v>
      </c>
      <c r="I833" s="522">
        <f>+(255+1120)/4</f>
        <v>343.75</v>
      </c>
      <c r="J833" s="519">
        <f t="shared" si="25"/>
        <v>443.75</v>
      </c>
      <c r="K833" s="268"/>
      <c r="L833" s="269"/>
    </row>
    <row r="834" spans="1:12" ht="20.25" customHeight="1" x14ac:dyDescent="0.2">
      <c r="A834" s="108">
        <v>829</v>
      </c>
      <c r="B834" s="171" t="s">
        <v>1782</v>
      </c>
      <c r="C834" s="110" t="s">
        <v>5613</v>
      </c>
      <c r="D834" s="111" t="s">
        <v>1783</v>
      </c>
      <c r="E834" s="112" t="s">
        <v>1784</v>
      </c>
      <c r="F834" s="113" t="s">
        <v>8</v>
      </c>
      <c r="G834" s="119">
        <v>50</v>
      </c>
      <c r="H834" s="120">
        <f t="shared" si="24"/>
        <v>450</v>
      </c>
      <c r="I834" s="511">
        <f>+(350+1075)/4</f>
        <v>356.25</v>
      </c>
      <c r="J834" s="512">
        <f t="shared" si="25"/>
        <v>806.25</v>
      </c>
      <c r="K834" s="260"/>
      <c r="L834" s="365"/>
    </row>
    <row r="835" spans="1:12" ht="20.25" customHeight="1" x14ac:dyDescent="0.2">
      <c r="A835" s="114">
        <v>830</v>
      </c>
      <c r="B835" s="1" t="s">
        <v>1785</v>
      </c>
      <c r="C835" s="6" t="s">
        <v>5577</v>
      </c>
      <c r="D835" s="7" t="s">
        <v>1786</v>
      </c>
      <c r="E835" s="2" t="s">
        <v>1784</v>
      </c>
      <c r="F835" s="99" t="s">
        <v>11</v>
      </c>
      <c r="G835" s="121">
        <v>50</v>
      </c>
      <c r="H835" s="122">
        <f t="shared" si="24"/>
        <v>450</v>
      </c>
      <c r="I835" s="520">
        <f>+(350+1075)/4</f>
        <v>356.25</v>
      </c>
      <c r="J835" s="514">
        <f t="shared" si="25"/>
        <v>806.25</v>
      </c>
      <c r="K835" s="262"/>
      <c r="L835" s="267"/>
    </row>
    <row r="836" spans="1:12" ht="20.25" customHeight="1" x14ac:dyDescent="0.2">
      <c r="A836" s="114">
        <v>831</v>
      </c>
      <c r="B836" s="1" t="s">
        <v>1787</v>
      </c>
      <c r="C836" s="6" t="s">
        <v>5173</v>
      </c>
      <c r="D836" s="7" t="s">
        <v>1788</v>
      </c>
      <c r="E836" s="2" t="s">
        <v>1784</v>
      </c>
      <c r="F836" s="99" t="s">
        <v>14</v>
      </c>
      <c r="G836" s="121">
        <v>50</v>
      </c>
      <c r="H836" s="122">
        <f t="shared" si="24"/>
        <v>450</v>
      </c>
      <c r="I836" s="520">
        <f>+(350+1075)/4</f>
        <v>356.25</v>
      </c>
      <c r="J836" s="514">
        <f t="shared" si="25"/>
        <v>806.25</v>
      </c>
      <c r="K836" s="262"/>
      <c r="L836" s="267"/>
    </row>
    <row r="837" spans="1:12" ht="20.25" customHeight="1" thickBot="1" x14ac:dyDescent="0.25">
      <c r="A837" s="158">
        <v>832</v>
      </c>
      <c r="B837" s="159" t="s">
        <v>1789</v>
      </c>
      <c r="C837" s="160" t="s">
        <v>5614</v>
      </c>
      <c r="D837" s="161" t="s">
        <v>84</v>
      </c>
      <c r="E837" s="162" t="s">
        <v>1784</v>
      </c>
      <c r="F837" s="163" t="s">
        <v>17</v>
      </c>
      <c r="G837" s="164">
        <v>100</v>
      </c>
      <c r="H837" s="153">
        <f t="shared" si="24"/>
        <v>400</v>
      </c>
      <c r="I837" s="521">
        <f>+(350+1075)/4</f>
        <v>356.25</v>
      </c>
      <c r="J837" s="516">
        <f t="shared" si="25"/>
        <v>756.25</v>
      </c>
      <c r="K837" s="277"/>
      <c r="L837" s="364"/>
    </row>
    <row r="838" spans="1:12" ht="20.25" customHeight="1" x14ac:dyDescent="0.2">
      <c r="A838" s="115">
        <v>833</v>
      </c>
      <c r="B838" s="64" t="s">
        <v>1790</v>
      </c>
      <c r="C838" s="65" t="s">
        <v>5615</v>
      </c>
      <c r="D838" s="66" t="s">
        <v>1791</v>
      </c>
      <c r="E838" s="67" t="s">
        <v>1792</v>
      </c>
      <c r="F838" s="98" t="s">
        <v>8</v>
      </c>
      <c r="G838" s="123">
        <v>150</v>
      </c>
      <c r="H838" s="124">
        <f t="shared" si="24"/>
        <v>350</v>
      </c>
      <c r="I838" s="513">
        <f>+(915+950)/4</f>
        <v>466.25</v>
      </c>
      <c r="J838" s="517">
        <f t="shared" si="25"/>
        <v>816.25</v>
      </c>
      <c r="K838" s="264"/>
      <c r="L838" s="363"/>
    </row>
    <row r="839" spans="1:12" ht="20.25" customHeight="1" x14ac:dyDescent="0.2">
      <c r="A839" s="114">
        <v>834</v>
      </c>
      <c r="B839" s="1" t="s">
        <v>1793</v>
      </c>
      <c r="C839" s="6" t="s">
        <v>5616</v>
      </c>
      <c r="D839" s="7" t="s">
        <v>1794</v>
      </c>
      <c r="E839" s="2" t="s">
        <v>1792</v>
      </c>
      <c r="F839" s="99" t="s">
        <v>11</v>
      </c>
      <c r="G839" s="121">
        <v>100</v>
      </c>
      <c r="H839" s="122">
        <f t="shared" ref="H839:H901" si="26">500-G839</f>
        <v>400</v>
      </c>
      <c r="I839" s="520">
        <f>+(915+950)/4</f>
        <v>466.25</v>
      </c>
      <c r="J839" s="514">
        <f t="shared" si="25"/>
        <v>866.25</v>
      </c>
      <c r="K839" s="262"/>
      <c r="L839" s="267"/>
    </row>
    <row r="840" spans="1:12" ht="20.25" customHeight="1" x14ac:dyDescent="0.2">
      <c r="A840" s="114">
        <v>835</v>
      </c>
      <c r="B840" s="1" t="s">
        <v>1795</v>
      </c>
      <c r="C840" s="6" t="s">
        <v>5116</v>
      </c>
      <c r="D840" s="7" t="s">
        <v>1796</v>
      </c>
      <c r="E840" s="2" t="s">
        <v>1792</v>
      </c>
      <c r="F840" s="99" t="s">
        <v>14</v>
      </c>
      <c r="G840" s="121">
        <v>100</v>
      </c>
      <c r="H840" s="122">
        <f t="shared" si="26"/>
        <v>400</v>
      </c>
      <c r="I840" s="520">
        <f>+(915+950)/4</f>
        <v>466.25</v>
      </c>
      <c r="J840" s="514">
        <f t="shared" ref="J840:J903" si="27">SUM(H840:I840)</f>
        <v>866.25</v>
      </c>
      <c r="K840" s="262"/>
      <c r="L840" s="267"/>
    </row>
    <row r="841" spans="1:12" ht="20.25" customHeight="1" thickBot="1" x14ac:dyDescent="0.25">
      <c r="A841" s="117">
        <v>836</v>
      </c>
      <c r="B841" s="3" t="s">
        <v>1797</v>
      </c>
      <c r="C841" s="8" t="s">
        <v>5617</v>
      </c>
      <c r="D841" s="9" t="s">
        <v>1798</v>
      </c>
      <c r="E841" s="4" t="s">
        <v>1792</v>
      </c>
      <c r="F841" s="101" t="s">
        <v>17</v>
      </c>
      <c r="G841" s="128">
        <v>50</v>
      </c>
      <c r="H841" s="157">
        <f t="shared" si="26"/>
        <v>450</v>
      </c>
      <c r="I841" s="522">
        <f>+(915+950)/4</f>
        <v>466.25</v>
      </c>
      <c r="J841" s="519">
        <f t="shared" si="27"/>
        <v>916.25</v>
      </c>
      <c r="K841" s="268"/>
      <c r="L841" s="269"/>
    </row>
    <row r="842" spans="1:12" ht="20.25" customHeight="1" x14ac:dyDescent="0.2">
      <c r="A842" s="108">
        <v>837</v>
      </c>
      <c r="B842" s="171" t="s">
        <v>1799</v>
      </c>
      <c r="C842" s="110" t="s">
        <v>5618</v>
      </c>
      <c r="D842" s="111" t="s">
        <v>1800</v>
      </c>
      <c r="E842" s="112" t="s">
        <v>1801</v>
      </c>
      <c r="F842" s="113" t="s">
        <v>8</v>
      </c>
      <c r="G842" s="119">
        <v>50</v>
      </c>
      <c r="H842" s="120">
        <f t="shared" si="26"/>
        <v>450</v>
      </c>
      <c r="I842" s="511">
        <f>+(-95+435)/4</f>
        <v>85</v>
      </c>
      <c r="J842" s="512">
        <f t="shared" si="27"/>
        <v>535</v>
      </c>
      <c r="K842" s="260"/>
      <c r="L842" s="365"/>
    </row>
    <row r="843" spans="1:12" ht="20.25" customHeight="1" x14ac:dyDescent="0.2">
      <c r="A843" s="114">
        <v>838</v>
      </c>
      <c r="B843" s="1" t="s">
        <v>1802</v>
      </c>
      <c r="C843" s="6" t="s">
        <v>5619</v>
      </c>
      <c r="D843" s="7" t="s">
        <v>1803</v>
      </c>
      <c r="E843" s="2" t="s">
        <v>1801</v>
      </c>
      <c r="F843" s="99" t="s">
        <v>11</v>
      </c>
      <c r="G843" s="121">
        <v>100</v>
      </c>
      <c r="H843" s="122">
        <f t="shared" si="26"/>
        <v>400</v>
      </c>
      <c r="I843" s="520">
        <f>+(-95+435)/4</f>
        <v>85</v>
      </c>
      <c r="J843" s="514">
        <f t="shared" si="27"/>
        <v>485</v>
      </c>
      <c r="K843" s="262"/>
      <c r="L843" s="267"/>
    </row>
    <row r="844" spans="1:12" ht="20.25" customHeight="1" x14ac:dyDescent="0.2">
      <c r="A844" s="114">
        <v>839</v>
      </c>
      <c r="B844" s="1" t="s">
        <v>1804</v>
      </c>
      <c r="C844" s="6" t="s">
        <v>5620</v>
      </c>
      <c r="D844" s="7" t="s">
        <v>1043</v>
      </c>
      <c r="E844" s="2" t="s">
        <v>1801</v>
      </c>
      <c r="F844" s="99" t="s">
        <v>14</v>
      </c>
      <c r="G844" s="121">
        <v>50</v>
      </c>
      <c r="H844" s="122">
        <f t="shared" si="26"/>
        <v>450</v>
      </c>
      <c r="I844" s="520">
        <f>+(-95+435)/4</f>
        <v>85</v>
      </c>
      <c r="J844" s="514">
        <f t="shared" si="27"/>
        <v>535</v>
      </c>
      <c r="K844" s="262"/>
      <c r="L844" s="267"/>
    </row>
    <row r="845" spans="1:12" ht="20.25" customHeight="1" thickBot="1" x14ac:dyDescent="0.25">
      <c r="A845" s="158">
        <v>840</v>
      </c>
      <c r="B845" s="159" t="s">
        <v>1805</v>
      </c>
      <c r="C845" s="160" t="s">
        <v>5621</v>
      </c>
      <c r="D845" s="161" t="s">
        <v>1806</v>
      </c>
      <c r="E845" s="162" t="s">
        <v>1801</v>
      </c>
      <c r="F845" s="163" t="s">
        <v>17</v>
      </c>
      <c r="G845" s="164">
        <v>50</v>
      </c>
      <c r="H845" s="153">
        <f t="shared" si="26"/>
        <v>450</v>
      </c>
      <c r="I845" s="521">
        <f>+(-95+435)/4</f>
        <v>85</v>
      </c>
      <c r="J845" s="516">
        <f t="shared" si="27"/>
        <v>535</v>
      </c>
      <c r="K845" s="277"/>
      <c r="L845" s="364"/>
    </row>
    <row r="846" spans="1:12" ht="20.25" customHeight="1" x14ac:dyDescent="0.2">
      <c r="A846" s="115">
        <v>841</v>
      </c>
      <c r="B846" s="64" t="s">
        <v>1807</v>
      </c>
      <c r="C846" s="65" t="s">
        <v>5622</v>
      </c>
      <c r="D846" s="66" t="s">
        <v>1808</v>
      </c>
      <c r="E846" s="67" t="s">
        <v>1809</v>
      </c>
      <c r="F846" s="98" t="s">
        <v>8</v>
      </c>
      <c r="G846" s="123">
        <v>100</v>
      </c>
      <c r="H846" s="124">
        <f t="shared" si="26"/>
        <v>400</v>
      </c>
      <c r="I846" s="513">
        <f>+(135+385)/4</f>
        <v>130</v>
      </c>
      <c r="J846" s="517">
        <f t="shared" si="27"/>
        <v>530</v>
      </c>
      <c r="K846" s="264"/>
      <c r="L846" s="363"/>
    </row>
    <row r="847" spans="1:12" ht="20.25" customHeight="1" x14ac:dyDescent="0.2">
      <c r="A847" s="114">
        <v>842</v>
      </c>
      <c r="B847" s="1" t="s">
        <v>1810</v>
      </c>
      <c r="C847" s="6" t="s">
        <v>5623</v>
      </c>
      <c r="D847" s="7" t="s">
        <v>1811</v>
      </c>
      <c r="E847" s="2" t="s">
        <v>1809</v>
      </c>
      <c r="F847" s="99" t="s">
        <v>11</v>
      </c>
      <c r="G847" s="121">
        <v>100</v>
      </c>
      <c r="H847" s="122">
        <f t="shared" si="26"/>
        <v>400</v>
      </c>
      <c r="I847" s="520">
        <f>+(135+385)/4</f>
        <v>130</v>
      </c>
      <c r="J847" s="514">
        <f t="shared" si="27"/>
        <v>530</v>
      </c>
      <c r="K847" s="262"/>
      <c r="L847" s="267"/>
    </row>
    <row r="848" spans="1:12" ht="20.25" customHeight="1" x14ac:dyDescent="0.2">
      <c r="A848" s="114">
        <v>843</v>
      </c>
      <c r="B848" s="1" t="s">
        <v>1812</v>
      </c>
      <c r="C848" s="6" t="s">
        <v>5624</v>
      </c>
      <c r="D848" s="7" t="s">
        <v>1813</v>
      </c>
      <c r="E848" s="2" t="s">
        <v>1809</v>
      </c>
      <c r="F848" s="99" t="s">
        <v>14</v>
      </c>
      <c r="G848" s="121">
        <v>100</v>
      </c>
      <c r="H848" s="122">
        <f t="shared" si="26"/>
        <v>400</v>
      </c>
      <c r="I848" s="520">
        <f>+(135+385)/4</f>
        <v>130</v>
      </c>
      <c r="J848" s="514">
        <f t="shared" si="27"/>
        <v>530</v>
      </c>
      <c r="K848" s="262"/>
      <c r="L848" s="267"/>
    </row>
    <row r="849" spans="1:12" ht="20.25" customHeight="1" thickBot="1" x14ac:dyDescent="0.25">
      <c r="A849" s="117">
        <v>844</v>
      </c>
      <c r="B849" s="3" t="s">
        <v>1814</v>
      </c>
      <c r="C849" s="8" t="s">
        <v>5625</v>
      </c>
      <c r="D849" s="9" t="s">
        <v>1815</v>
      </c>
      <c r="E849" s="4" t="s">
        <v>1809</v>
      </c>
      <c r="F849" s="101" t="s">
        <v>17</v>
      </c>
      <c r="G849" s="128">
        <v>50</v>
      </c>
      <c r="H849" s="157">
        <f t="shared" si="26"/>
        <v>450</v>
      </c>
      <c r="I849" s="522">
        <f>+(135+385)/4</f>
        <v>130</v>
      </c>
      <c r="J849" s="519">
        <f t="shared" si="27"/>
        <v>580</v>
      </c>
      <c r="K849" s="268"/>
      <c r="L849" s="269"/>
    </row>
    <row r="850" spans="1:12" ht="20.25" customHeight="1" x14ac:dyDescent="0.2">
      <c r="A850" s="108">
        <v>845</v>
      </c>
      <c r="B850" s="171" t="s">
        <v>1816</v>
      </c>
      <c r="C850" s="110" t="s">
        <v>5626</v>
      </c>
      <c r="D850" s="111" t="s">
        <v>1817</v>
      </c>
      <c r="E850" s="112" t="s">
        <v>1818</v>
      </c>
      <c r="F850" s="113" t="s">
        <v>8</v>
      </c>
      <c r="G850" s="119">
        <v>50</v>
      </c>
      <c r="H850" s="120">
        <f t="shared" si="26"/>
        <v>450</v>
      </c>
      <c r="I850" s="511">
        <f>+(330+15)/4</f>
        <v>86.25</v>
      </c>
      <c r="J850" s="512">
        <f t="shared" si="27"/>
        <v>536.25</v>
      </c>
      <c r="K850" s="260"/>
      <c r="L850" s="365"/>
    </row>
    <row r="851" spans="1:12" ht="20.25" customHeight="1" x14ac:dyDescent="0.2">
      <c r="A851" s="114">
        <v>846</v>
      </c>
      <c r="B851" s="1" t="s">
        <v>1819</v>
      </c>
      <c r="C851" s="6" t="s">
        <v>5627</v>
      </c>
      <c r="D851" s="7" t="s">
        <v>1820</v>
      </c>
      <c r="E851" s="2" t="s">
        <v>1818</v>
      </c>
      <c r="F851" s="99" t="s">
        <v>11</v>
      </c>
      <c r="G851" s="121">
        <v>50</v>
      </c>
      <c r="H851" s="122">
        <f t="shared" si="26"/>
        <v>450</v>
      </c>
      <c r="I851" s="520">
        <f>+(330+15)/4</f>
        <v>86.25</v>
      </c>
      <c r="J851" s="514">
        <f t="shared" si="27"/>
        <v>536.25</v>
      </c>
      <c r="K851" s="262"/>
      <c r="L851" s="267"/>
    </row>
    <row r="852" spans="1:12" ht="20.25" customHeight="1" x14ac:dyDescent="0.2">
      <c r="A852" s="114">
        <v>847</v>
      </c>
      <c r="B852" s="1" t="s">
        <v>1821</v>
      </c>
      <c r="C852" s="6" t="s">
        <v>5628</v>
      </c>
      <c r="D852" s="7" t="s">
        <v>1822</v>
      </c>
      <c r="E852" s="2" t="s">
        <v>1818</v>
      </c>
      <c r="F852" s="99" t="s">
        <v>14</v>
      </c>
      <c r="G852" s="121">
        <v>100</v>
      </c>
      <c r="H852" s="122">
        <f t="shared" si="26"/>
        <v>400</v>
      </c>
      <c r="I852" s="520">
        <f>+(330+15)/4</f>
        <v>86.25</v>
      </c>
      <c r="J852" s="514">
        <f t="shared" si="27"/>
        <v>486.25</v>
      </c>
      <c r="K852" s="262"/>
      <c r="L852" s="267"/>
    </row>
    <row r="853" spans="1:12" ht="20.25" customHeight="1" thickBot="1" x14ac:dyDescent="0.25">
      <c r="A853" s="158">
        <v>848</v>
      </c>
      <c r="B853" s="159" t="s">
        <v>1823</v>
      </c>
      <c r="C853" s="160" t="s">
        <v>5629</v>
      </c>
      <c r="D853" s="161" t="s">
        <v>1824</v>
      </c>
      <c r="E853" s="162" t="s">
        <v>1818</v>
      </c>
      <c r="F853" s="163" t="s">
        <v>17</v>
      </c>
      <c r="G853" s="164">
        <v>50</v>
      </c>
      <c r="H853" s="153">
        <f t="shared" si="26"/>
        <v>450</v>
      </c>
      <c r="I853" s="521">
        <f>+(330+15)/4</f>
        <v>86.25</v>
      </c>
      <c r="J853" s="516">
        <f t="shared" si="27"/>
        <v>536.25</v>
      </c>
      <c r="K853" s="277"/>
      <c r="L853" s="364"/>
    </row>
    <row r="854" spans="1:12" ht="20.25" customHeight="1" x14ac:dyDescent="0.2">
      <c r="A854" s="115">
        <v>849</v>
      </c>
      <c r="B854" s="64" t="s">
        <v>1825</v>
      </c>
      <c r="C854" s="65" t="s">
        <v>5630</v>
      </c>
      <c r="D854" s="66" t="s">
        <v>1826</v>
      </c>
      <c r="E854" s="67" t="s">
        <v>1827</v>
      </c>
      <c r="F854" s="98" t="s">
        <v>8</v>
      </c>
      <c r="G854" s="123">
        <v>50</v>
      </c>
      <c r="H854" s="124">
        <f t="shared" si="26"/>
        <v>450</v>
      </c>
      <c r="I854" s="513">
        <f>+(455+460)/4</f>
        <v>228.75</v>
      </c>
      <c r="J854" s="517">
        <f t="shared" si="27"/>
        <v>678.75</v>
      </c>
      <c r="K854" s="264"/>
      <c r="L854" s="363"/>
    </row>
    <row r="855" spans="1:12" ht="20.25" customHeight="1" x14ac:dyDescent="0.2">
      <c r="A855" s="114">
        <v>850</v>
      </c>
      <c r="B855" s="1" t="s">
        <v>1828</v>
      </c>
      <c r="C855" s="6" t="s">
        <v>5631</v>
      </c>
      <c r="D855" s="7" t="s">
        <v>1829</v>
      </c>
      <c r="E855" s="2" t="s">
        <v>1827</v>
      </c>
      <c r="F855" s="99" t="s">
        <v>11</v>
      </c>
      <c r="G855" s="121">
        <v>50</v>
      </c>
      <c r="H855" s="122">
        <f t="shared" si="26"/>
        <v>450</v>
      </c>
      <c r="I855" s="520">
        <f>+(455+460)/4</f>
        <v>228.75</v>
      </c>
      <c r="J855" s="514">
        <f t="shared" si="27"/>
        <v>678.75</v>
      </c>
      <c r="K855" s="262"/>
      <c r="L855" s="267"/>
    </row>
    <row r="856" spans="1:12" ht="20.25" customHeight="1" x14ac:dyDescent="0.2">
      <c r="A856" s="114">
        <v>851</v>
      </c>
      <c r="B856" s="1" t="s">
        <v>1830</v>
      </c>
      <c r="C856" s="6" t="s">
        <v>5074</v>
      </c>
      <c r="D856" s="7" t="s">
        <v>1831</v>
      </c>
      <c r="E856" s="2" t="s">
        <v>1827</v>
      </c>
      <c r="F856" s="99" t="s">
        <v>14</v>
      </c>
      <c r="G856" s="121">
        <v>50</v>
      </c>
      <c r="H856" s="122">
        <f t="shared" si="26"/>
        <v>450</v>
      </c>
      <c r="I856" s="520">
        <f>+(455+460)/4</f>
        <v>228.75</v>
      </c>
      <c r="J856" s="514">
        <f t="shared" si="27"/>
        <v>678.75</v>
      </c>
      <c r="K856" s="262"/>
      <c r="L856" s="267"/>
    </row>
    <row r="857" spans="1:12" ht="20.25" customHeight="1" thickBot="1" x14ac:dyDescent="0.25">
      <c r="A857" s="117">
        <v>852</v>
      </c>
      <c r="B857" s="3" t="s">
        <v>1832</v>
      </c>
      <c r="C857" s="8" t="s">
        <v>5632</v>
      </c>
      <c r="D857" s="9" t="s">
        <v>1833</v>
      </c>
      <c r="E857" s="4" t="s">
        <v>1827</v>
      </c>
      <c r="F857" s="101" t="s">
        <v>17</v>
      </c>
      <c r="G857" s="128">
        <v>50</v>
      </c>
      <c r="H857" s="157">
        <f t="shared" si="26"/>
        <v>450</v>
      </c>
      <c r="I857" s="522">
        <f>+(455+460)/4</f>
        <v>228.75</v>
      </c>
      <c r="J857" s="519">
        <f t="shared" si="27"/>
        <v>678.75</v>
      </c>
      <c r="K857" s="268"/>
      <c r="L857" s="269"/>
    </row>
    <row r="858" spans="1:12" ht="20.25" customHeight="1" x14ac:dyDescent="0.2">
      <c r="A858" s="108">
        <v>853</v>
      </c>
      <c r="B858" s="171" t="s">
        <v>1834</v>
      </c>
      <c r="C858" s="110" t="s">
        <v>5633</v>
      </c>
      <c r="D858" s="111" t="s">
        <v>1835</v>
      </c>
      <c r="E858" s="112" t="s">
        <v>1836</v>
      </c>
      <c r="F858" s="113" t="s">
        <v>8</v>
      </c>
      <c r="G858" s="119">
        <v>50</v>
      </c>
      <c r="H858" s="120">
        <f t="shared" si="26"/>
        <v>450</v>
      </c>
      <c r="I858" s="511">
        <f>+(0+0)/4</f>
        <v>0</v>
      </c>
      <c r="J858" s="512">
        <f t="shared" si="27"/>
        <v>450</v>
      </c>
      <c r="K858" s="260"/>
      <c r="L858" s="365"/>
    </row>
    <row r="859" spans="1:12" ht="20.25" customHeight="1" x14ac:dyDescent="0.2">
      <c r="A859" s="114">
        <v>854</v>
      </c>
      <c r="B859" s="1" t="s">
        <v>1837</v>
      </c>
      <c r="C859" s="6" t="s">
        <v>5634</v>
      </c>
      <c r="D859" s="7" t="s">
        <v>1838</v>
      </c>
      <c r="E859" s="2" t="s">
        <v>1836</v>
      </c>
      <c r="F859" s="99" t="s">
        <v>11</v>
      </c>
      <c r="G859" s="121">
        <v>100</v>
      </c>
      <c r="H859" s="122">
        <f t="shared" si="26"/>
        <v>400</v>
      </c>
      <c r="I859" s="520">
        <f>+(0+0)/4</f>
        <v>0</v>
      </c>
      <c r="J859" s="514">
        <f t="shared" si="27"/>
        <v>400</v>
      </c>
      <c r="K859" s="262"/>
      <c r="L859" s="267"/>
    </row>
    <row r="860" spans="1:12" ht="20.25" customHeight="1" x14ac:dyDescent="0.2">
      <c r="A860" s="114">
        <v>855</v>
      </c>
      <c r="B860" s="1" t="s">
        <v>1839</v>
      </c>
      <c r="C860" s="6" t="s">
        <v>5635</v>
      </c>
      <c r="D860" s="7" t="s">
        <v>1046</v>
      </c>
      <c r="E860" s="2" t="s">
        <v>1836</v>
      </c>
      <c r="F860" s="99" t="s">
        <v>14</v>
      </c>
      <c r="G860" s="121">
        <v>50</v>
      </c>
      <c r="H860" s="122">
        <f t="shared" si="26"/>
        <v>450</v>
      </c>
      <c r="I860" s="520">
        <f>+(0+0)/4</f>
        <v>0</v>
      </c>
      <c r="J860" s="514">
        <f t="shared" si="27"/>
        <v>450</v>
      </c>
      <c r="K860" s="262"/>
      <c r="L860" s="267"/>
    </row>
    <row r="861" spans="1:12" ht="20.25" customHeight="1" thickBot="1" x14ac:dyDescent="0.25">
      <c r="A861" s="158">
        <v>856</v>
      </c>
      <c r="B861" s="159" t="s">
        <v>1840</v>
      </c>
      <c r="C861" s="160" t="s">
        <v>5636</v>
      </c>
      <c r="D861" s="161" t="s">
        <v>1841</v>
      </c>
      <c r="E861" s="162" t="s">
        <v>1836</v>
      </c>
      <c r="F861" s="163" t="s">
        <v>17</v>
      </c>
      <c r="G861" s="164">
        <v>50</v>
      </c>
      <c r="H861" s="153">
        <f t="shared" si="26"/>
        <v>450</v>
      </c>
      <c r="I861" s="521">
        <f>+(0+0)/4</f>
        <v>0</v>
      </c>
      <c r="J861" s="516">
        <f t="shared" si="27"/>
        <v>450</v>
      </c>
      <c r="K861" s="277"/>
      <c r="L861" s="364"/>
    </row>
    <row r="862" spans="1:12" ht="20.25" customHeight="1" x14ac:dyDescent="0.2">
      <c r="A862" s="115">
        <v>857</v>
      </c>
      <c r="B862" s="64" t="s">
        <v>1842</v>
      </c>
      <c r="C862" s="65" t="s">
        <v>5637</v>
      </c>
      <c r="D862" s="66" t="s">
        <v>1843</v>
      </c>
      <c r="E862" s="67" t="s">
        <v>1844</v>
      </c>
      <c r="F862" s="98" t="s">
        <v>8</v>
      </c>
      <c r="G862" s="123">
        <v>100</v>
      </c>
      <c r="H862" s="124">
        <f t="shared" si="26"/>
        <v>400</v>
      </c>
      <c r="I862" s="513">
        <f>+(0+110)/4</f>
        <v>27.5</v>
      </c>
      <c r="J862" s="517">
        <f t="shared" si="27"/>
        <v>427.5</v>
      </c>
      <c r="K862" s="264"/>
      <c r="L862" s="363"/>
    </row>
    <row r="863" spans="1:12" ht="20.25" customHeight="1" x14ac:dyDescent="0.2">
      <c r="A863" s="114">
        <v>858</v>
      </c>
      <c r="B863" s="1" t="s">
        <v>1845</v>
      </c>
      <c r="C863" s="6" t="s">
        <v>5638</v>
      </c>
      <c r="D863" s="7" t="s">
        <v>1846</v>
      </c>
      <c r="E863" s="2" t="s">
        <v>1844</v>
      </c>
      <c r="F863" s="99" t="s">
        <v>11</v>
      </c>
      <c r="G863" s="121">
        <v>150</v>
      </c>
      <c r="H863" s="122">
        <f t="shared" si="26"/>
        <v>350</v>
      </c>
      <c r="I863" s="520">
        <f>+(0+110)/4</f>
        <v>27.5</v>
      </c>
      <c r="J863" s="514">
        <f t="shared" si="27"/>
        <v>377.5</v>
      </c>
      <c r="K863" s="262"/>
      <c r="L863" s="267"/>
    </row>
    <row r="864" spans="1:12" ht="20.25" customHeight="1" x14ac:dyDescent="0.2">
      <c r="A864" s="114">
        <v>859</v>
      </c>
      <c r="B864" s="1" t="s">
        <v>1847</v>
      </c>
      <c r="C864" s="6" t="s">
        <v>5639</v>
      </c>
      <c r="D864" s="7" t="s">
        <v>1848</v>
      </c>
      <c r="E864" s="2" t="s">
        <v>1844</v>
      </c>
      <c r="F864" s="99" t="s">
        <v>14</v>
      </c>
      <c r="G864" s="121">
        <v>100</v>
      </c>
      <c r="H864" s="122">
        <f t="shared" si="26"/>
        <v>400</v>
      </c>
      <c r="I864" s="520">
        <f>+(0+110)/4</f>
        <v>27.5</v>
      </c>
      <c r="J864" s="514">
        <f t="shared" si="27"/>
        <v>427.5</v>
      </c>
      <c r="K864" s="262"/>
      <c r="L864" s="267"/>
    </row>
    <row r="865" spans="1:12" ht="20.25" customHeight="1" thickBot="1" x14ac:dyDescent="0.25">
      <c r="A865" s="117">
        <v>860</v>
      </c>
      <c r="B865" s="3" t="s">
        <v>1849</v>
      </c>
      <c r="C865" s="8" t="s">
        <v>5640</v>
      </c>
      <c r="D865" s="9" t="s">
        <v>1850</v>
      </c>
      <c r="E865" s="4" t="s">
        <v>1844</v>
      </c>
      <c r="F865" s="101" t="s">
        <v>17</v>
      </c>
      <c r="G865" s="128">
        <v>50</v>
      </c>
      <c r="H865" s="157">
        <f t="shared" si="26"/>
        <v>450</v>
      </c>
      <c r="I865" s="522">
        <f>+(0+110)/4</f>
        <v>27.5</v>
      </c>
      <c r="J865" s="519">
        <f t="shared" si="27"/>
        <v>477.5</v>
      </c>
      <c r="K865" s="268"/>
      <c r="L865" s="269"/>
    </row>
    <row r="866" spans="1:12" ht="20.25" customHeight="1" x14ac:dyDescent="0.2">
      <c r="A866" s="108">
        <v>861</v>
      </c>
      <c r="B866" s="171" t="s">
        <v>1851</v>
      </c>
      <c r="C866" s="110" t="s">
        <v>5641</v>
      </c>
      <c r="D866" s="111" t="s">
        <v>1852</v>
      </c>
      <c r="E866" s="112" t="s">
        <v>1853</v>
      </c>
      <c r="F866" s="113" t="s">
        <v>8</v>
      </c>
      <c r="G866" s="119">
        <v>100</v>
      </c>
      <c r="H866" s="120">
        <f t="shared" si="26"/>
        <v>400</v>
      </c>
      <c r="I866" s="511">
        <f>+(0+0)/4</f>
        <v>0</v>
      </c>
      <c r="J866" s="512">
        <f t="shared" si="27"/>
        <v>400</v>
      </c>
      <c r="K866" s="260"/>
      <c r="L866" s="365"/>
    </row>
    <row r="867" spans="1:12" ht="20.25" customHeight="1" x14ac:dyDescent="0.2">
      <c r="A867" s="114">
        <v>862</v>
      </c>
      <c r="B867" s="1" t="s">
        <v>1854</v>
      </c>
      <c r="C867" s="6" t="s">
        <v>5642</v>
      </c>
      <c r="D867" s="7" t="s">
        <v>1855</v>
      </c>
      <c r="E867" s="2" t="s">
        <v>1853</v>
      </c>
      <c r="F867" s="99" t="s">
        <v>11</v>
      </c>
      <c r="G867" s="121">
        <v>50</v>
      </c>
      <c r="H867" s="122">
        <f t="shared" si="26"/>
        <v>450</v>
      </c>
      <c r="I867" s="520">
        <f>+(0+0)/4</f>
        <v>0</v>
      </c>
      <c r="J867" s="514">
        <f t="shared" si="27"/>
        <v>450</v>
      </c>
      <c r="K867" s="262"/>
      <c r="L867" s="267"/>
    </row>
    <row r="868" spans="1:12" ht="20.25" customHeight="1" x14ac:dyDescent="0.2">
      <c r="A868" s="114">
        <v>863</v>
      </c>
      <c r="B868" s="1" t="s">
        <v>1856</v>
      </c>
      <c r="C868" s="6" t="s">
        <v>5643</v>
      </c>
      <c r="D868" s="7" t="s">
        <v>1857</v>
      </c>
      <c r="E868" s="2" t="s">
        <v>1853</v>
      </c>
      <c r="F868" s="99" t="s">
        <v>14</v>
      </c>
      <c r="G868" s="121">
        <v>50</v>
      </c>
      <c r="H868" s="122">
        <f t="shared" si="26"/>
        <v>450</v>
      </c>
      <c r="I868" s="520">
        <f>+(0+0)/4</f>
        <v>0</v>
      </c>
      <c r="J868" s="514">
        <f t="shared" si="27"/>
        <v>450</v>
      </c>
      <c r="K868" s="262"/>
      <c r="L868" s="267"/>
    </row>
    <row r="869" spans="1:12" ht="20.25" customHeight="1" thickBot="1" x14ac:dyDescent="0.25">
      <c r="A869" s="158">
        <v>864</v>
      </c>
      <c r="B869" s="159" t="s">
        <v>1858</v>
      </c>
      <c r="C869" s="160" t="s">
        <v>5644</v>
      </c>
      <c r="D869" s="161" t="s">
        <v>1859</v>
      </c>
      <c r="E869" s="162" t="s">
        <v>1853</v>
      </c>
      <c r="F869" s="163" t="s">
        <v>17</v>
      </c>
      <c r="G869" s="164">
        <v>100</v>
      </c>
      <c r="H869" s="153">
        <f t="shared" si="26"/>
        <v>400</v>
      </c>
      <c r="I869" s="521">
        <f>+(0+0)/4</f>
        <v>0</v>
      </c>
      <c r="J869" s="516">
        <f t="shared" si="27"/>
        <v>400</v>
      </c>
      <c r="K869" s="277"/>
      <c r="L869" s="364"/>
    </row>
    <row r="870" spans="1:12" ht="20.25" customHeight="1" x14ac:dyDescent="0.2">
      <c r="A870" s="419">
        <v>865</v>
      </c>
      <c r="B870" s="199"/>
      <c r="C870" s="420" t="s">
        <v>4946</v>
      </c>
      <c r="D870" s="201"/>
      <c r="E870" s="202">
        <v>1804</v>
      </c>
      <c r="F870" s="200">
        <v>1</v>
      </c>
      <c r="G870" s="203"/>
      <c r="H870" s="204"/>
      <c r="I870" s="540">
        <v>0</v>
      </c>
      <c r="J870" s="541">
        <f t="shared" si="27"/>
        <v>0</v>
      </c>
      <c r="K870" s="421" t="s">
        <v>4946</v>
      </c>
      <c r="L870" s="422"/>
    </row>
    <row r="871" spans="1:12" ht="20.25" customHeight="1" x14ac:dyDescent="0.2">
      <c r="A871" s="283">
        <v>866</v>
      </c>
      <c r="B871" s="94" t="s">
        <v>1860</v>
      </c>
      <c r="C871" s="95" t="s">
        <v>5645</v>
      </c>
      <c r="D871" s="96" t="s">
        <v>1861</v>
      </c>
      <c r="E871" s="97" t="s">
        <v>1862</v>
      </c>
      <c r="F871" s="106" t="s">
        <v>11</v>
      </c>
      <c r="G871" s="138">
        <v>100</v>
      </c>
      <c r="H871" s="139">
        <f t="shared" si="26"/>
        <v>400</v>
      </c>
      <c r="I871" s="542">
        <f>+(-2780+0)/2</f>
        <v>-1390</v>
      </c>
      <c r="J871" s="543">
        <f t="shared" si="27"/>
        <v>-990</v>
      </c>
      <c r="K871" s="274" t="s">
        <v>5720</v>
      </c>
      <c r="L871" s="275"/>
    </row>
    <row r="872" spans="1:12" ht="20.25" customHeight="1" x14ac:dyDescent="0.2">
      <c r="A872" s="253">
        <v>867</v>
      </c>
      <c r="B872" s="74"/>
      <c r="C872" s="75" t="s">
        <v>4946</v>
      </c>
      <c r="D872" s="76"/>
      <c r="E872" s="77">
        <v>1804</v>
      </c>
      <c r="F872" s="81">
        <v>3</v>
      </c>
      <c r="G872" s="131"/>
      <c r="H872" s="132"/>
      <c r="I872" s="544">
        <v>0</v>
      </c>
      <c r="J872" s="545">
        <f t="shared" si="27"/>
        <v>0</v>
      </c>
      <c r="K872" s="271" t="s">
        <v>4946</v>
      </c>
      <c r="L872" s="282"/>
    </row>
    <row r="873" spans="1:12" ht="20.25" customHeight="1" thickBot="1" x14ac:dyDescent="0.25">
      <c r="A873" s="117">
        <v>868</v>
      </c>
      <c r="B873" s="423" t="s">
        <v>1863</v>
      </c>
      <c r="C873" s="424" t="s">
        <v>5117</v>
      </c>
      <c r="D873" s="425" t="s">
        <v>1864</v>
      </c>
      <c r="E873" s="426" t="s">
        <v>1862</v>
      </c>
      <c r="F873" s="427" t="s">
        <v>17</v>
      </c>
      <c r="G873" s="428">
        <v>100</v>
      </c>
      <c r="H873" s="429">
        <f t="shared" si="26"/>
        <v>400</v>
      </c>
      <c r="I873" s="546">
        <f>+(-2780+0)/2</f>
        <v>-1390</v>
      </c>
      <c r="J873" s="519">
        <f t="shared" si="27"/>
        <v>-990</v>
      </c>
      <c r="K873" s="430" t="s">
        <v>5720</v>
      </c>
      <c r="L873" s="431"/>
    </row>
    <row r="874" spans="1:12" ht="20.25" customHeight="1" x14ac:dyDescent="0.2">
      <c r="A874" s="108">
        <v>869</v>
      </c>
      <c r="B874" s="171" t="s">
        <v>1865</v>
      </c>
      <c r="C874" s="110" t="s">
        <v>5646</v>
      </c>
      <c r="D874" s="111" t="s">
        <v>1866</v>
      </c>
      <c r="E874" s="112" t="s">
        <v>1867</v>
      </c>
      <c r="F874" s="113" t="s">
        <v>8</v>
      </c>
      <c r="G874" s="119">
        <v>100</v>
      </c>
      <c r="H874" s="120">
        <f t="shared" si="26"/>
        <v>400</v>
      </c>
      <c r="I874" s="511">
        <f>+(0+1000)/4</f>
        <v>250</v>
      </c>
      <c r="J874" s="512">
        <f t="shared" si="27"/>
        <v>650</v>
      </c>
      <c r="K874" s="260"/>
      <c r="L874" s="365"/>
    </row>
    <row r="875" spans="1:12" ht="20.25" customHeight="1" x14ac:dyDescent="0.2">
      <c r="A875" s="114">
        <v>870</v>
      </c>
      <c r="B875" s="1" t="s">
        <v>1868</v>
      </c>
      <c r="C875" s="6" t="s">
        <v>5146</v>
      </c>
      <c r="D875" s="7" t="s">
        <v>1869</v>
      </c>
      <c r="E875" s="2" t="s">
        <v>1867</v>
      </c>
      <c r="F875" s="99" t="s">
        <v>11</v>
      </c>
      <c r="G875" s="121">
        <v>100</v>
      </c>
      <c r="H875" s="122">
        <f t="shared" si="26"/>
        <v>400</v>
      </c>
      <c r="I875" s="520">
        <f>+(0+1000)/4</f>
        <v>250</v>
      </c>
      <c r="J875" s="514">
        <f t="shared" si="27"/>
        <v>650</v>
      </c>
      <c r="K875" s="262"/>
      <c r="L875" s="267"/>
    </row>
    <row r="876" spans="1:12" ht="20.25" customHeight="1" x14ac:dyDescent="0.2">
      <c r="A876" s="114">
        <v>871</v>
      </c>
      <c r="B876" s="1" t="s">
        <v>1870</v>
      </c>
      <c r="C876" s="6" t="s">
        <v>5647</v>
      </c>
      <c r="D876" s="7" t="s">
        <v>1871</v>
      </c>
      <c r="E876" s="2" t="s">
        <v>1867</v>
      </c>
      <c r="F876" s="99" t="s">
        <v>14</v>
      </c>
      <c r="G876" s="121">
        <v>50</v>
      </c>
      <c r="H876" s="122">
        <f t="shared" si="26"/>
        <v>450</v>
      </c>
      <c r="I876" s="520">
        <f>+(0+1000)/4</f>
        <v>250</v>
      </c>
      <c r="J876" s="514">
        <f t="shared" si="27"/>
        <v>700</v>
      </c>
      <c r="K876" s="262"/>
      <c r="L876" s="267"/>
    </row>
    <row r="877" spans="1:12" ht="20.25" customHeight="1" thickBot="1" x14ac:dyDescent="0.25">
      <c r="A877" s="158">
        <v>872</v>
      </c>
      <c r="B877" s="159" t="s">
        <v>1872</v>
      </c>
      <c r="C877" s="160" t="s">
        <v>5648</v>
      </c>
      <c r="D877" s="161" t="s">
        <v>1873</v>
      </c>
      <c r="E877" s="162" t="s">
        <v>1867</v>
      </c>
      <c r="F877" s="163" t="s">
        <v>17</v>
      </c>
      <c r="G877" s="164">
        <v>50</v>
      </c>
      <c r="H877" s="153">
        <f t="shared" si="26"/>
        <v>450</v>
      </c>
      <c r="I877" s="521">
        <f>+(0+1000)/4</f>
        <v>250</v>
      </c>
      <c r="J877" s="516">
        <f t="shared" si="27"/>
        <v>700</v>
      </c>
      <c r="K877" s="277"/>
      <c r="L877" s="364"/>
    </row>
    <row r="878" spans="1:12" ht="20.25" customHeight="1" x14ac:dyDescent="0.2">
      <c r="A878" s="115">
        <v>873</v>
      </c>
      <c r="B878" s="64" t="s">
        <v>1874</v>
      </c>
      <c r="C878" s="65" t="s">
        <v>5439</v>
      </c>
      <c r="D878" s="66" t="s">
        <v>1875</v>
      </c>
      <c r="E878" s="67" t="s">
        <v>1876</v>
      </c>
      <c r="F878" s="98" t="s">
        <v>8</v>
      </c>
      <c r="G878" s="123">
        <v>50</v>
      </c>
      <c r="H878" s="124">
        <f t="shared" si="26"/>
        <v>450</v>
      </c>
      <c r="I878" s="513">
        <f>+(0+465)/4</f>
        <v>116.25</v>
      </c>
      <c r="J878" s="517">
        <f t="shared" si="27"/>
        <v>566.25</v>
      </c>
      <c r="K878" s="264"/>
      <c r="L878" s="363"/>
    </row>
    <row r="879" spans="1:12" ht="20.25" customHeight="1" x14ac:dyDescent="0.2">
      <c r="A879" s="114">
        <v>874</v>
      </c>
      <c r="B879" s="1" t="s">
        <v>1877</v>
      </c>
      <c r="C879" s="6" t="s">
        <v>5644</v>
      </c>
      <c r="D879" s="7" t="s">
        <v>1878</v>
      </c>
      <c r="E879" s="2" t="s">
        <v>1876</v>
      </c>
      <c r="F879" s="99" t="s">
        <v>11</v>
      </c>
      <c r="G879" s="121">
        <v>50</v>
      </c>
      <c r="H879" s="122">
        <f t="shared" si="26"/>
        <v>450</v>
      </c>
      <c r="I879" s="520">
        <f>+(0+465)/4</f>
        <v>116.25</v>
      </c>
      <c r="J879" s="514">
        <f t="shared" si="27"/>
        <v>566.25</v>
      </c>
      <c r="K879" s="262"/>
      <c r="L879" s="267"/>
    </row>
    <row r="880" spans="1:12" ht="20.25" customHeight="1" x14ac:dyDescent="0.2">
      <c r="A880" s="114">
        <v>875</v>
      </c>
      <c r="B880" s="1" t="s">
        <v>1879</v>
      </c>
      <c r="C880" s="6" t="s">
        <v>5031</v>
      </c>
      <c r="D880" s="7" t="s">
        <v>1880</v>
      </c>
      <c r="E880" s="2" t="s">
        <v>1876</v>
      </c>
      <c r="F880" s="99" t="s">
        <v>14</v>
      </c>
      <c r="G880" s="121">
        <v>150</v>
      </c>
      <c r="H880" s="122">
        <f t="shared" si="26"/>
        <v>350</v>
      </c>
      <c r="I880" s="520">
        <f>+(0+465)/4</f>
        <v>116.25</v>
      </c>
      <c r="J880" s="514">
        <f t="shared" si="27"/>
        <v>466.25</v>
      </c>
      <c r="K880" s="262"/>
      <c r="L880" s="267"/>
    </row>
    <row r="881" spans="1:36" ht="20.25" customHeight="1" thickBot="1" x14ac:dyDescent="0.25">
      <c r="A881" s="117">
        <v>876</v>
      </c>
      <c r="B881" s="3" t="s">
        <v>1881</v>
      </c>
      <c r="C881" s="8" t="s">
        <v>5649</v>
      </c>
      <c r="D881" s="9" t="s">
        <v>1882</v>
      </c>
      <c r="E881" s="4" t="s">
        <v>1876</v>
      </c>
      <c r="F881" s="101" t="s">
        <v>17</v>
      </c>
      <c r="G881" s="128">
        <v>100</v>
      </c>
      <c r="H881" s="157">
        <f t="shared" si="26"/>
        <v>400</v>
      </c>
      <c r="I881" s="522">
        <f>+(0+465)/4</f>
        <v>116.25</v>
      </c>
      <c r="J881" s="519">
        <f t="shared" si="27"/>
        <v>516.25</v>
      </c>
      <c r="K881" s="268"/>
      <c r="L881" s="269"/>
    </row>
    <row r="882" spans="1:36" ht="20.25" customHeight="1" x14ac:dyDescent="0.2">
      <c r="A882" s="108">
        <v>877</v>
      </c>
      <c r="B882" s="171" t="s">
        <v>1883</v>
      </c>
      <c r="C882" s="110" t="s">
        <v>5638</v>
      </c>
      <c r="D882" s="111" t="s">
        <v>1884</v>
      </c>
      <c r="E882" s="112" t="s">
        <v>1885</v>
      </c>
      <c r="F882" s="113" t="s">
        <v>8</v>
      </c>
      <c r="G882" s="119">
        <v>100</v>
      </c>
      <c r="H882" s="120">
        <f t="shared" si="26"/>
        <v>400</v>
      </c>
      <c r="I882" s="511">
        <f t="shared" ref="I882:I901" si="28">+(0+0)/4</f>
        <v>0</v>
      </c>
      <c r="J882" s="512">
        <f t="shared" si="27"/>
        <v>400</v>
      </c>
      <c r="K882" s="260"/>
      <c r="L882" s="365"/>
    </row>
    <row r="883" spans="1:36" ht="20.25" customHeight="1" x14ac:dyDescent="0.2">
      <c r="A883" s="114">
        <v>878</v>
      </c>
      <c r="B883" s="1" t="s">
        <v>1886</v>
      </c>
      <c r="C883" s="6" t="s">
        <v>5650</v>
      </c>
      <c r="D883" s="7" t="s">
        <v>1887</v>
      </c>
      <c r="E883" s="2" t="s">
        <v>1885</v>
      </c>
      <c r="F883" s="99" t="s">
        <v>11</v>
      </c>
      <c r="G883" s="121">
        <v>50</v>
      </c>
      <c r="H883" s="122">
        <f t="shared" si="26"/>
        <v>450</v>
      </c>
      <c r="I883" s="520">
        <f t="shared" si="28"/>
        <v>0</v>
      </c>
      <c r="J883" s="514">
        <f t="shared" si="27"/>
        <v>450</v>
      </c>
      <c r="K883" s="262"/>
      <c r="L883" s="267"/>
    </row>
    <row r="884" spans="1:36" ht="20.25" customHeight="1" x14ac:dyDescent="0.2">
      <c r="A884" s="114">
        <v>879</v>
      </c>
      <c r="B884" s="1" t="s">
        <v>1888</v>
      </c>
      <c r="C884" s="6" t="s">
        <v>5035</v>
      </c>
      <c r="D884" s="7" t="s">
        <v>1889</v>
      </c>
      <c r="E884" s="2" t="s">
        <v>1885</v>
      </c>
      <c r="F884" s="99" t="s">
        <v>14</v>
      </c>
      <c r="G884" s="121">
        <v>100</v>
      </c>
      <c r="H884" s="122">
        <f t="shared" si="26"/>
        <v>400</v>
      </c>
      <c r="I884" s="520">
        <f t="shared" si="28"/>
        <v>0</v>
      </c>
      <c r="J884" s="514">
        <f t="shared" si="27"/>
        <v>400</v>
      </c>
      <c r="K884" s="262"/>
      <c r="L884" s="267"/>
    </row>
    <row r="885" spans="1:36" ht="20.25" customHeight="1" thickBot="1" x14ac:dyDescent="0.25">
      <c r="A885" s="158">
        <v>880</v>
      </c>
      <c r="B885" s="159" t="s">
        <v>1890</v>
      </c>
      <c r="C885" s="160" t="s">
        <v>5651</v>
      </c>
      <c r="D885" s="161" t="s">
        <v>1891</v>
      </c>
      <c r="E885" s="162" t="s">
        <v>1885</v>
      </c>
      <c r="F885" s="163" t="s">
        <v>17</v>
      </c>
      <c r="G885" s="164">
        <v>50</v>
      </c>
      <c r="H885" s="153">
        <f t="shared" si="26"/>
        <v>450</v>
      </c>
      <c r="I885" s="521">
        <f t="shared" si="28"/>
        <v>0</v>
      </c>
      <c r="J885" s="516">
        <f t="shared" si="27"/>
        <v>450</v>
      </c>
      <c r="K885" s="277"/>
      <c r="L885" s="364"/>
    </row>
    <row r="886" spans="1:36" ht="20.25" customHeight="1" x14ac:dyDescent="0.2">
      <c r="A886" s="115">
        <v>881</v>
      </c>
      <c r="B886" s="64" t="s">
        <v>1892</v>
      </c>
      <c r="C886" s="65" t="s">
        <v>5289</v>
      </c>
      <c r="D886" s="66" t="s">
        <v>1893</v>
      </c>
      <c r="E886" s="67" t="s">
        <v>1894</v>
      </c>
      <c r="F886" s="98" t="s">
        <v>8</v>
      </c>
      <c r="G886" s="123">
        <v>100</v>
      </c>
      <c r="H886" s="124">
        <f t="shared" si="26"/>
        <v>400</v>
      </c>
      <c r="I886" s="513">
        <f t="shared" si="28"/>
        <v>0</v>
      </c>
      <c r="J886" s="517">
        <f t="shared" si="27"/>
        <v>400</v>
      </c>
      <c r="K886" s="264"/>
      <c r="L886" s="363"/>
    </row>
    <row r="887" spans="1:36" ht="20.25" customHeight="1" x14ac:dyDescent="0.2">
      <c r="A887" s="114">
        <v>882</v>
      </c>
      <c r="B887" s="1" t="s">
        <v>1895</v>
      </c>
      <c r="C887" s="6" t="s">
        <v>5075</v>
      </c>
      <c r="D887" s="7" t="s">
        <v>1896</v>
      </c>
      <c r="E887" s="2" t="s">
        <v>1894</v>
      </c>
      <c r="F887" s="99" t="s">
        <v>11</v>
      </c>
      <c r="G887" s="121">
        <v>150</v>
      </c>
      <c r="H887" s="122">
        <f t="shared" si="26"/>
        <v>350</v>
      </c>
      <c r="I887" s="520">
        <f t="shared" si="28"/>
        <v>0</v>
      </c>
      <c r="J887" s="514">
        <f t="shared" si="27"/>
        <v>350</v>
      </c>
      <c r="K887" s="262"/>
      <c r="L887" s="267"/>
    </row>
    <row r="888" spans="1:36" ht="20.25" customHeight="1" x14ac:dyDescent="0.2">
      <c r="A888" s="114">
        <v>883</v>
      </c>
      <c r="B888" s="1" t="s">
        <v>1897</v>
      </c>
      <c r="C888" s="6" t="s">
        <v>5652</v>
      </c>
      <c r="D888" s="7" t="s">
        <v>1898</v>
      </c>
      <c r="E888" s="2" t="s">
        <v>1894</v>
      </c>
      <c r="F888" s="99" t="s">
        <v>14</v>
      </c>
      <c r="G888" s="121">
        <v>50</v>
      </c>
      <c r="H888" s="122">
        <f t="shared" si="26"/>
        <v>450</v>
      </c>
      <c r="I888" s="520">
        <f t="shared" si="28"/>
        <v>0</v>
      </c>
      <c r="J888" s="514">
        <f t="shared" si="27"/>
        <v>450</v>
      </c>
      <c r="K888" s="262"/>
      <c r="L888" s="267"/>
    </row>
    <row r="889" spans="1:36" s="37" customFormat="1" ht="20.25" customHeight="1" thickBot="1" x14ac:dyDescent="0.25">
      <c r="A889" s="432">
        <v>884</v>
      </c>
      <c r="B889" s="433" t="s">
        <v>1899</v>
      </c>
      <c r="C889" s="434" t="s">
        <v>5653</v>
      </c>
      <c r="D889" s="435" t="s">
        <v>1900</v>
      </c>
      <c r="E889" s="436" t="s">
        <v>1894</v>
      </c>
      <c r="F889" s="437" t="s">
        <v>17</v>
      </c>
      <c r="G889" s="438">
        <v>150</v>
      </c>
      <c r="H889" s="439">
        <f t="shared" si="26"/>
        <v>350</v>
      </c>
      <c r="I889" s="547">
        <f t="shared" si="28"/>
        <v>0</v>
      </c>
      <c r="J889" s="548">
        <f t="shared" si="27"/>
        <v>350</v>
      </c>
      <c r="K889" s="440" t="s">
        <v>4996</v>
      </c>
      <c r="L889" s="269">
        <v>6280</v>
      </c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</row>
    <row r="890" spans="1:36" ht="20.25" customHeight="1" x14ac:dyDescent="0.2">
      <c r="A890" s="108">
        <v>885</v>
      </c>
      <c r="B890" s="171" t="s">
        <v>1901</v>
      </c>
      <c r="C890" s="110" t="s">
        <v>5654</v>
      </c>
      <c r="D890" s="111" t="s">
        <v>1902</v>
      </c>
      <c r="E890" s="112" t="s">
        <v>1903</v>
      </c>
      <c r="F890" s="113" t="s">
        <v>8</v>
      </c>
      <c r="G890" s="119">
        <v>150</v>
      </c>
      <c r="H890" s="120">
        <f t="shared" si="26"/>
        <v>350</v>
      </c>
      <c r="I890" s="511">
        <f t="shared" si="28"/>
        <v>0</v>
      </c>
      <c r="J890" s="512">
        <f t="shared" si="27"/>
        <v>350</v>
      </c>
      <c r="K890" s="260"/>
      <c r="L890" s="365"/>
    </row>
    <row r="891" spans="1:36" ht="20.25" customHeight="1" x14ac:dyDescent="0.2">
      <c r="A891" s="114">
        <v>886</v>
      </c>
      <c r="B891" s="1" t="s">
        <v>1904</v>
      </c>
      <c r="C891" s="6" t="s">
        <v>5557</v>
      </c>
      <c r="D891" s="7" t="s">
        <v>1905</v>
      </c>
      <c r="E891" s="2" t="s">
        <v>1903</v>
      </c>
      <c r="F891" s="99" t="s">
        <v>11</v>
      </c>
      <c r="G891" s="121">
        <v>50</v>
      </c>
      <c r="H891" s="122">
        <f t="shared" si="26"/>
        <v>450</v>
      </c>
      <c r="I891" s="520">
        <f t="shared" si="28"/>
        <v>0</v>
      </c>
      <c r="J891" s="514">
        <f t="shared" si="27"/>
        <v>450</v>
      </c>
      <c r="K891" s="262"/>
      <c r="L891" s="267"/>
    </row>
    <row r="892" spans="1:36" ht="20.25" customHeight="1" x14ac:dyDescent="0.2">
      <c r="A892" s="114">
        <v>887</v>
      </c>
      <c r="B892" s="1" t="s">
        <v>1906</v>
      </c>
      <c r="C892" s="6" t="s">
        <v>5655</v>
      </c>
      <c r="D892" s="7" t="s">
        <v>1907</v>
      </c>
      <c r="E892" s="2" t="s">
        <v>1903</v>
      </c>
      <c r="F892" s="99" t="s">
        <v>14</v>
      </c>
      <c r="G892" s="121">
        <v>50</v>
      </c>
      <c r="H892" s="122">
        <f t="shared" si="26"/>
        <v>450</v>
      </c>
      <c r="I892" s="520">
        <f t="shared" si="28"/>
        <v>0</v>
      </c>
      <c r="J892" s="514">
        <f t="shared" si="27"/>
        <v>450</v>
      </c>
      <c r="K892" s="262"/>
      <c r="L892" s="267"/>
    </row>
    <row r="893" spans="1:36" ht="20.25" customHeight="1" thickBot="1" x14ac:dyDescent="0.25">
      <c r="A893" s="158">
        <v>888</v>
      </c>
      <c r="B893" s="159" t="s">
        <v>1908</v>
      </c>
      <c r="C893" s="160" t="s">
        <v>5656</v>
      </c>
      <c r="D893" s="161" t="s">
        <v>1909</v>
      </c>
      <c r="E893" s="162" t="s">
        <v>1903</v>
      </c>
      <c r="F893" s="163" t="s">
        <v>17</v>
      </c>
      <c r="G893" s="164">
        <v>50</v>
      </c>
      <c r="H893" s="153">
        <f t="shared" si="26"/>
        <v>450</v>
      </c>
      <c r="I893" s="521">
        <f t="shared" si="28"/>
        <v>0</v>
      </c>
      <c r="J893" s="516">
        <f t="shared" si="27"/>
        <v>450</v>
      </c>
      <c r="K893" s="277"/>
      <c r="L893" s="364"/>
    </row>
    <row r="894" spans="1:36" ht="20.25" customHeight="1" x14ac:dyDescent="0.2">
      <c r="A894" s="115">
        <v>889</v>
      </c>
      <c r="B894" s="64" t="s">
        <v>1910</v>
      </c>
      <c r="C894" s="65" t="s">
        <v>5657</v>
      </c>
      <c r="D894" s="66" t="s">
        <v>1911</v>
      </c>
      <c r="E894" s="67" t="s">
        <v>1912</v>
      </c>
      <c r="F894" s="98" t="s">
        <v>8</v>
      </c>
      <c r="G894" s="123">
        <v>50</v>
      </c>
      <c r="H894" s="124">
        <f t="shared" si="26"/>
        <v>450</v>
      </c>
      <c r="I894" s="513">
        <f t="shared" si="28"/>
        <v>0</v>
      </c>
      <c r="J894" s="517">
        <f t="shared" si="27"/>
        <v>450</v>
      </c>
      <c r="K894" s="264"/>
      <c r="L894" s="363"/>
    </row>
    <row r="895" spans="1:36" ht="20.25" customHeight="1" x14ac:dyDescent="0.2">
      <c r="A895" s="114">
        <v>890</v>
      </c>
      <c r="B895" s="1" t="s">
        <v>1913</v>
      </c>
      <c r="C895" s="6" t="s">
        <v>5658</v>
      </c>
      <c r="D895" s="7" t="s">
        <v>1914</v>
      </c>
      <c r="E895" s="2" t="s">
        <v>1912</v>
      </c>
      <c r="F895" s="99" t="s">
        <v>11</v>
      </c>
      <c r="G895" s="121">
        <v>50</v>
      </c>
      <c r="H895" s="122">
        <f t="shared" si="26"/>
        <v>450</v>
      </c>
      <c r="I895" s="520">
        <f t="shared" si="28"/>
        <v>0</v>
      </c>
      <c r="J895" s="514">
        <f t="shared" si="27"/>
        <v>450</v>
      </c>
      <c r="K895" s="262"/>
      <c r="L895" s="267"/>
    </row>
    <row r="896" spans="1:36" ht="20.25" customHeight="1" x14ac:dyDescent="0.2">
      <c r="A896" s="114">
        <v>891</v>
      </c>
      <c r="B896" s="1" t="s">
        <v>1915</v>
      </c>
      <c r="C896" s="6" t="s">
        <v>5659</v>
      </c>
      <c r="D896" s="7" t="s">
        <v>1916</v>
      </c>
      <c r="E896" s="2" t="s">
        <v>1912</v>
      </c>
      <c r="F896" s="99" t="s">
        <v>14</v>
      </c>
      <c r="G896" s="121">
        <v>50</v>
      </c>
      <c r="H896" s="122">
        <f t="shared" si="26"/>
        <v>450</v>
      </c>
      <c r="I896" s="520">
        <f t="shared" si="28"/>
        <v>0</v>
      </c>
      <c r="J896" s="514">
        <f t="shared" si="27"/>
        <v>450</v>
      </c>
      <c r="K896" s="262"/>
      <c r="L896" s="267"/>
    </row>
    <row r="897" spans="1:12" ht="20.25" customHeight="1" thickBot="1" x14ac:dyDescent="0.25">
      <c r="A897" s="117">
        <v>892</v>
      </c>
      <c r="B897" s="3" t="s">
        <v>1917</v>
      </c>
      <c r="C897" s="8" t="s">
        <v>5660</v>
      </c>
      <c r="D897" s="9" t="s">
        <v>1918</v>
      </c>
      <c r="E897" s="4" t="s">
        <v>1912</v>
      </c>
      <c r="F897" s="101" t="s">
        <v>17</v>
      </c>
      <c r="G897" s="128">
        <v>50</v>
      </c>
      <c r="H897" s="157">
        <f t="shared" si="26"/>
        <v>450</v>
      </c>
      <c r="I897" s="522">
        <f t="shared" si="28"/>
        <v>0</v>
      </c>
      <c r="J897" s="519">
        <f t="shared" si="27"/>
        <v>450</v>
      </c>
      <c r="K897" s="268"/>
      <c r="L897" s="269"/>
    </row>
    <row r="898" spans="1:12" ht="20.25" customHeight="1" x14ac:dyDescent="0.2">
      <c r="A898" s="108">
        <v>893</v>
      </c>
      <c r="B898" s="171" t="s">
        <v>1919</v>
      </c>
      <c r="C898" s="110" t="s">
        <v>5324</v>
      </c>
      <c r="D898" s="111" t="s">
        <v>1920</v>
      </c>
      <c r="E898" s="112" t="s">
        <v>1921</v>
      </c>
      <c r="F898" s="113" t="s">
        <v>8</v>
      </c>
      <c r="G898" s="119">
        <v>50</v>
      </c>
      <c r="H898" s="120">
        <f t="shared" si="26"/>
        <v>450</v>
      </c>
      <c r="I898" s="511">
        <f t="shared" si="28"/>
        <v>0</v>
      </c>
      <c r="J898" s="512">
        <f t="shared" si="27"/>
        <v>450</v>
      </c>
      <c r="K898" s="260"/>
      <c r="L898" s="365"/>
    </row>
    <row r="899" spans="1:12" ht="20.25" customHeight="1" x14ac:dyDescent="0.2">
      <c r="A899" s="114">
        <v>894</v>
      </c>
      <c r="B899" s="1" t="s">
        <v>1922</v>
      </c>
      <c r="C899" s="6" t="s">
        <v>5661</v>
      </c>
      <c r="D899" s="7" t="s">
        <v>1924</v>
      </c>
      <c r="E899" s="2" t="s">
        <v>1921</v>
      </c>
      <c r="F899" s="99" t="s">
        <v>11</v>
      </c>
      <c r="G899" s="121">
        <v>50</v>
      </c>
      <c r="H899" s="122">
        <f t="shared" si="26"/>
        <v>450</v>
      </c>
      <c r="I899" s="520">
        <f t="shared" si="28"/>
        <v>0</v>
      </c>
      <c r="J899" s="514">
        <f t="shared" si="27"/>
        <v>450</v>
      </c>
      <c r="K899" s="262"/>
      <c r="L899" s="267"/>
    </row>
    <row r="900" spans="1:12" ht="20.25" customHeight="1" x14ac:dyDescent="0.2">
      <c r="A900" s="114">
        <v>895</v>
      </c>
      <c r="B900" s="1" t="s">
        <v>1925</v>
      </c>
      <c r="C900" s="6" t="s">
        <v>5662</v>
      </c>
      <c r="D900" s="7" t="s">
        <v>1926</v>
      </c>
      <c r="E900" s="2" t="s">
        <v>1921</v>
      </c>
      <c r="F900" s="99" t="s">
        <v>14</v>
      </c>
      <c r="G900" s="121">
        <v>50</v>
      </c>
      <c r="H900" s="122">
        <f t="shared" si="26"/>
        <v>450</v>
      </c>
      <c r="I900" s="520">
        <f t="shared" si="28"/>
        <v>0</v>
      </c>
      <c r="J900" s="514">
        <f t="shared" si="27"/>
        <v>450</v>
      </c>
      <c r="K900" s="262"/>
      <c r="L900" s="267"/>
    </row>
    <row r="901" spans="1:12" ht="20.25" customHeight="1" thickBot="1" x14ac:dyDescent="0.25">
      <c r="A901" s="158">
        <v>896</v>
      </c>
      <c r="B901" s="159" t="s">
        <v>1927</v>
      </c>
      <c r="C901" s="160" t="s">
        <v>5654</v>
      </c>
      <c r="D901" s="161" t="s">
        <v>1928</v>
      </c>
      <c r="E901" s="162" t="s">
        <v>1921</v>
      </c>
      <c r="F901" s="163" t="s">
        <v>17</v>
      </c>
      <c r="G901" s="164">
        <v>150</v>
      </c>
      <c r="H901" s="153">
        <f t="shared" si="26"/>
        <v>350</v>
      </c>
      <c r="I901" s="521">
        <f t="shared" si="28"/>
        <v>0</v>
      </c>
      <c r="J901" s="516">
        <f t="shared" si="27"/>
        <v>350</v>
      </c>
      <c r="K901" s="277"/>
      <c r="L901" s="364"/>
    </row>
    <row r="902" spans="1:12" ht="20.25" customHeight="1" x14ac:dyDescent="0.2">
      <c r="A902" s="561">
        <v>897</v>
      </c>
      <c r="B902" s="562"/>
      <c r="C902" s="563" t="s">
        <v>4946</v>
      </c>
      <c r="D902" s="564"/>
      <c r="E902" s="565">
        <v>1812</v>
      </c>
      <c r="F902" s="566" t="s">
        <v>8</v>
      </c>
      <c r="G902" s="567"/>
      <c r="H902" s="568"/>
      <c r="I902" s="569">
        <v>0</v>
      </c>
      <c r="J902" s="570">
        <f t="shared" si="27"/>
        <v>0</v>
      </c>
      <c r="K902" s="571" t="s">
        <v>4946</v>
      </c>
      <c r="L902" s="572"/>
    </row>
    <row r="903" spans="1:12" ht="20.25" customHeight="1" x14ac:dyDescent="0.2">
      <c r="A903" s="114">
        <v>898</v>
      </c>
      <c r="B903" s="47" t="s">
        <v>1929</v>
      </c>
      <c r="C903" s="10" t="s">
        <v>5599</v>
      </c>
      <c r="D903" s="11" t="s">
        <v>1930</v>
      </c>
      <c r="E903" s="5" t="s">
        <v>1931</v>
      </c>
      <c r="F903" s="100" t="s">
        <v>11</v>
      </c>
      <c r="G903" s="125">
        <v>50</v>
      </c>
      <c r="H903" s="122">
        <f t="shared" ref="H903:H966" si="29">500-G903</f>
        <v>450</v>
      </c>
      <c r="I903" s="520">
        <f>+(0+450)/3</f>
        <v>150</v>
      </c>
      <c r="J903" s="514">
        <f t="shared" si="27"/>
        <v>600</v>
      </c>
      <c r="K903" s="262"/>
      <c r="L903" s="267"/>
    </row>
    <row r="904" spans="1:12" ht="20.25" customHeight="1" x14ac:dyDescent="0.2">
      <c r="A904" s="114">
        <v>899</v>
      </c>
      <c r="B904" s="47" t="s">
        <v>1932</v>
      </c>
      <c r="C904" s="10" t="s">
        <v>5389</v>
      </c>
      <c r="D904" s="11" t="s">
        <v>1933</v>
      </c>
      <c r="E904" s="5" t="s">
        <v>1931</v>
      </c>
      <c r="F904" s="100" t="s">
        <v>14</v>
      </c>
      <c r="G904" s="125">
        <v>50</v>
      </c>
      <c r="H904" s="122">
        <f t="shared" si="29"/>
        <v>450</v>
      </c>
      <c r="I904" s="520">
        <f>+(0+450)/3</f>
        <v>150</v>
      </c>
      <c r="J904" s="514">
        <f t="shared" ref="J904:J967" si="30">SUM(H904:I904)</f>
        <v>600</v>
      </c>
      <c r="K904" s="262"/>
      <c r="L904" s="267"/>
    </row>
    <row r="905" spans="1:12" ht="20.25" customHeight="1" thickBot="1" x14ac:dyDescent="0.25">
      <c r="A905" s="117">
        <v>900</v>
      </c>
      <c r="B905" s="357" t="s">
        <v>1934</v>
      </c>
      <c r="C905" s="358" t="s">
        <v>5172</v>
      </c>
      <c r="D905" s="359" t="s">
        <v>1935</v>
      </c>
      <c r="E905" s="360" t="s">
        <v>1931</v>
      </c>
      <c r="F905" s="361" t="s">
        <v>17</v>
      </c>
      <c r="G905" s="362">
        <v>50</v>
      </c>
      <c r="H905" s="157">
        <f t="shared" si="29"/>
        <v>450</v>
      </c>
      <c r="I905" s="522">
        <f>+(0+450)/3</f>
        <v>150</v>
      </c>
      <c r="J905" s="519">
        <f t="shared" si="30"/>
        <v>600</v>
      </c>
      <c r="K905" s="268"/>
      <c r="L905" s="269"/>
    </row>
    <row r="906" spans="1:12" ht="20.25" customHeight="1" x14ac:dyDescent="0.2">
      <c r="A906" s="108">
        <v>901</v>
      </c>
      <c r="B906" s="171" t="s">
        <v>1936</v>
      </c>
      <c r="C906" s="110" t="s">
        <v>5663</v>
      </c>
      <c r="D906" s="111" t="s">
        <v>1937</v>
      </c>
      <c r="E906" s="112" t="s">
        <v>1938</v>
      </c>
      <c r="F906" s="113" t="s">
        <v>8</v>
      </c>
      <c r="G906" s="119">
        <v>50</v>
      </c>
      <c r="H906" s="120">
        <f t="shared" si="29"/>
        <v>450</v>
      </c>
      <c r="I906" s="511">
        <f>+(0+540)/4</f>
        <v>135</v>
      </c>
      <c r="J906" s="512">
        <f t="shared" si="30"/>
        <v>585</v>
      </c>
      <c r="K906" s="260"/>
      <c r="L906" s="365"/>
    </row>
    <row r="907" spans="1:12" ht="20.25" customHeight="1" x14ac:dyDescent="0.2">
      <c r="A907" s="114">
        <v>902</v>
      </c>
      <c r="B907" s="1" t="s">
        <v>1939</v>
      </c>
      <c r="C907" s="6" t="s">
        <v>5664</v>
      </c>
      <c r="D907" s="7" t="s">
        <v>1940</v>
      </c>
      <c r="E907" s="2" t="s">
        <v>1938</v>
      </c>
      <c r="F907" s="99" t="s">
        <v>11</v>
      </c>
      <c r="G907" s="121">
        <v>50</v>
      </c>
      <c r="H907" s="122">
        <f t="shared" si="29"/>
        <v>450</v>
      </c>
      <c r="I907" s="520">
        <f>+(0+540)/4</f>
        <v>135</v>
      </c>
      <c r="J907" s="514">
        <f t="shared" si="30"/>
        <v>585</v>
      </c>
      <c r="K907" s="262"/>
      <c r="L907" s="267"/>
    </row>
    <row r="908" spans="1:12" ht="20.25" customHeight="1" x14ac:dyDescent="0.2">
      <c r="A908" s="114">
        <v>903</v>
      </c>
      <c r="B908" s="1" t="s">
        <v>1941</v>
      </c>
      <c r="C908" s="6" t="s">
        <v>5401</v>
      </c>
      <c r="D908" s="7" t="s">
        <v>1942</v>
      </c>
      <c r="E908" s="2" t="s">
        <v>1938</v>
      </c>
      <c r="F908" s="99" t="s">
        <v>14</v>
      </c>
      <c r="G908" s="121">
        <v>50</v>
      </c>
      <c r="H908" s="122">
        <f t="shared" si="29"/>
        <v>450</v>
      </c>
      <c r="I908" s="520">
        <f>+(0+540)/4</f>
        <v>135</v>
      </c>
      <c r="J908" s="514">
        <f t="shared" si="30"/>
        <v>585</v>
      </c>
      <c r="K908" s="262"/>
      <c r="L908" s="267"/>
    </row>
    <row r="909" spans="1:12" ht="20.25" customHeight="1" thickBot="1" x14ac:dyDescent="0.25">
      <c r="A909" s="158">
        <v>904</v>
      </c>
      <c r="B909" s="159" t="s">
        <v>1943</v>
      </c>
      <c r="C909" s="160" t="s">
        <v>5665</v>
      </c>
      <c r="D909" s="161" t="s">
        <v>1944</v>
      </c>
      <c r="E909" s="162" t="s">
        <v>1938</v>
      </c>
      <c r="F909" s="163" t="s">
        <v>17</v>
      </c>
      <c r="G909" s="164">
        <v>50</v>
      </c>
      <c r="H909" s="153">
        <f t="shared" si="29"/>
        <v>450</v>
      </c>
      <c r="I909" s="521">
        <f>+(0+540)/4</f>
        <v>135</v>
      </c>
      <c r="J909" s="516">
        <f t="shared" si="30"/>
        <v>585</v>
      </c>
      <c r="K909" s="277"/>
      <c r="L909" s="364"/>
    </row>
    <row r="910" spans="1:12" ht="20.25" customHeight="1" x14ac:dyDescent="0.2">
      <c r="A910" s="115">
        <v>905</v>
      </c>
      <c r="B910" s="64" t="s">
        <v>1945</v>
      </c>
      <c r="C910" s="65" t="s">
        <v>5666</v>
      </c>
      <c r="D910" s="66" t="s">
        <v>1946</v>
      </c>
      <c r="E910" s="67" t="s">
        <v>1947</v>
      </c>
      <c r="F910" s="98" t="s">
        <v>8</v>
      </c>
      <c r="G910" s="123">
        <v>100</v>
      </c>
      <c r="H910" s="124">
        <f t="shared" si="29"/>
        <v>400</v>
      </c>
      <c r="I910" s="513">
        <f t="shared" ref="I910:I941" si="31">+(0+0)/4</f>
        <v>0</v>
      </c>
      <c r="J910" s="517">
        <f t="shared" si="30"/>
        <v>400</v>
      </c>
      <c r="K910" s="264"/>
      <c r="L910" s="363"/>
    </row>
    <row r="911" spans="1:12" ht="20.25" customHeight="1" x14ac:dyDescent="0.2">
      <c r="A911" s="114">
        <v>906</v>
      </c>
      <c r="B911" s="1" t="s">
        <v>1948</v>
      </c>
      <c r="C911" s="6" t="s">
        <v>5667</v>
      </c>
      <c r="D911" s="7" t="s">
        <v>1949</v>
      </c>
      <c r="E911" s="2" t="s">
        <v>1947</v>
      </c>
      <c r="F911" s="99" t="s">
        <v>11</v>
      </c>
      <c r="G911" s="121">
        <v>50</v>
      </c>
      <c r="H911" s="122">
        <f t="shared" si="29"/>
        <v>450</v>
      </c>
      <c r="I911" s="520">
        <f t="shared" si="31"/>
        <v>0</v>
      </c>
      <c r="J911" s="514">
        <f t="shared" si="30"/>
        <v>450</v>
      </c>
      <c r="K911" s="262"/>
      <c r="L911" s="267"/>
    </row>
    <row r="912" spans="1:12" ht="20.25" customHeight="1" x14ac:dyDescent="0.2">
      <c r="A912" s="118">
        <v>907</v>
      </c>
      <c r="B912" s="49" t="s">
        <v>1950</v>
      </c>
      <c r="C912" s="43" t="s">
        <v>5012</v>
      </c>
      <c r="D912" s="42" t="s">
        <v>1951</v>
      </c>
      <c r="E912" s="44" t="s">
        <v>1947</v>
      </c>
      <c r="F912" s="103" t="s">
        <v>14</v>
      </c>
      <c r="G912" s="133">
        <v>50</v>
      </c>
      <c r="H912" s="122">
        <f t="shared" si="29"/>
        <v>450</v>
      </c>
      <c r="I912" s="534">
        <f t="shared" si="31"/>
        <v>0</v>
      </c>
      <c r="J912" s="535">
        <f t="shared" si="30"/>
        <v>450</v>
      </c>
      <c r="K912" s="272" t="s">
        <v>4999</v>
      </c>
      <c r="L912" s="273">
        <v>2100</v>
      </c>
    </row>
    <row r="913" spans="1:36" ht="20.25" customHeight="1" thickBot="1" x14ac:dyDescent="0.25">
      <c r="A913" s="117">
        <v>908</v>
      </c>
      <c r="B913" s="3" t="s">
        <v>1952</v>
      </c>
      <c r="C913" s="8" t="s">
        <v>5668</v>
      </c>
      <c r="D913" s="9" t="s">
        <v>1953</v>
      </c>
      <c r="E913" s="4" t="s">
        <v>1947</v>
      </c>
      <c r="F913" s="101" t="s">
        <v>17</v>
      </c>
      <c r="G913" s="128">
        <v>100</v>
      </c>
      <c r="H913" s="157">
        <f t="shared" si="29"/>
        <v>400</v>
      </c>
      <c r="I913" s="522">
        <f t="shared" si="31"/>
        <v>0</v>
      </c>
      <c r="J913" s="519">
        <f t="shared" si="30"/>
        <v>400</v>
      </c>
      <c r="K913" s="268"/>
      <c r="L913" s="269"/>
    </row>
    <row r="914" spans="1:36" ht="20.25" customHeight="1" x14ac:dyDescent="0.2">
      <c r="A914" s="108">
        <v>909</v>
      </c>
      <c r="B914" s="174" t="s">
        <v>1954</v>
      </c>
      <c r="C914" s="175" t="s">
        <v>5669</v>
      </c>
      <c r="D914" s="176" t="s">
        <v>1955</v>
      </c>
      <c r="E914" s="177" t="s">
        <v>1956</v>
      </c>
      <c r="F914" s="178" t="s">
        <v>8</v>
      </c>
      <c r="G914" s="179">
        <v>50</v>
      </c>
      <c r="H914" s="120">
        <f t="shared" si="29"/>
        <v>450</v>
      </c>
      <c r="I914" s="511">
        <f t="shared" si="31"/>
        <v>0</v>
      </c>
      <c r="J914" s="512">
        <f t="shared" si="30"/>
        <v>450</v>
      </c>
      <c r="K914" s="260"/>
      <c r="L914" s="365"/>
    </row>
    <row r="915" spans="1:36" ht="20.25" customHeight="1" x14ac:dyDescent="0.2">
      <c r="A915" s="114">
        <v>910</v>
      </c>
      <c r="B915" s="47" t="s">
        <v>1957</v>
      </c>
      <c r="C915" s="10" t="s">
        <v>5670</v>
      </c>
      <c r="D915" s="11" t="s">
        <v>1958</v>
      </c>
      <c r="E915" s="5" t="s">
        <v>1956</v>
      </c>
      <c r="F915" s="100" t="s">
        <v>11</v>
      </c>
      <c r="G915" s="125">
        <v>50</v>
      </c>
      <c r="H915" s="122">
        <f t="shared" si="29"/>
        <v>450</v>
      </c>
      <c r="I915" s="520">
        <f t="shared" si="31"/>
        <v>0</v>
      </c>
      <c r="J915" s="514">
        <f t="shared" si="30"/>
        <v>450</v>
      </c>
      <c r="K915" s="262"/>
      <c r="L915" s="267"/>
    </row>
    <row r="916" spans="1:36" ht="20.25" customHeight="1" x14ac:dyDescent="0.2">
      <c r="A916" s="114">
        <v>911</v>
      </c>
      <c r="B916" s="47" t="s">
        <v>1959</v>
      </c>
      <c r="C916" s="10" t="s">
        <v>5671</v>
      </c>
      <c r="D916" s="11" t="s">
        <v>1960</v>
      </c>
      <c r="E916" s="5" t="s">
        <v>1956</v>
      </c>
      <c r="F916" s="100" t="s">
        <v>14</v>
      </c>
      <c r="G916" s="125">
        <v>50</v>
      </c>
      <c r="H916" s="122">
        <f t="shared" si="29"/>
        <v>450</v>
      </c>
      <c r="I916" s="520">
        <f t="shared" si="31"/>
        <v>0</v>
      </c>
      <c r="J916" s="514">
        <f t="shared" si="30"/>
        <v>450</v>
      </c>
      <c r="K916" s="262"/>
      <c r="L916" s="267"/>
    </row>
    <row r="917" spans="1:36" ht="20.25" customHeight="1" thickBot="1" x14ac:dyDescent="0.25">
      <c r="A917" s="158">
        <v>912</v>
      </c>
      <c r="B917" s="401" t="s">
        <v>4962</v>
      </c>
      <c r="C917" s="402" t="s">
        <v>5672</v>
      </c>
      <c r="D917" s="403" t="s">
        <v>4883</v>
      </c>
      <c r="E917" s="195" t="s">
        <v>1956</v>
      </c>
      <c r="F917" s="196" t="s">
        <v>17</v>
      </c>
      <c r="G917" s="197">
        <v>150</v>
      </c>
      <c r="H917" s="153">
        <f t="shared" si="29"/>
        <v>350</v>
      </c>
      <c r="I917" s="521">
        <f t="shared" si="31"/>
        <v>0</v>
      </c>
      <c r="J917" s="516">
        <f t="shared" si="30"/>
        <v>350</v>
      </c>
      <c r="K917" s="277"/>
      <c r="L917" s="364"/>
    </row>
    <row r="918" spans="1:36" ht="20.25" customHeight="1" x14ac:dyDescent="0.2">
      <c r="A918" s="115">
        <v>913</v>
      </c>
      <c r="B918" s="61" t="s">
        <v>1961</v>
      </c>
      <c r="C918" s="62" t="s">
        <v>5673</v>
      </c>
      <c r="D918" s="63" t="s">
        <v>1962</v>
      </c>
      <c r="E918" s="12" t="s">
        <v>1963</v>
      </c>
      <c r="F918" s="172" t="s">
        <v>8</v>
      </c>
      <c r="G918" s="173">
        <v>100</v>
      </c>
      <c r="H918" s="124">
        <f t="shared" si="29"/>
        <v>400</v>
      </c>
      <c r="I918" s="513">
        <f t="shared" si="31"/>
        <v>0</v>
      </c>
      <c r="J918" s="517">
        <f t="shared" si="30"/>
        <v>400</v>
      </c>
      <c r="K918" s="264"/>
      <c r="L918" s="363"/>
    </row>
    <row r="919" spans="1:36" s="37" customFormat="1" ht="20.25" customHeight="1" x14ac:dyDescent="0.2">
      <c r="A919" s="116">
        <v>914</v>
      </c>
      <c r="B919" s="50" t="s">
        <v>4963</v>
      </c>
      <c r="C919" s="35" t="s">
        <v>5674</v>
      </c>
      <c r="D919" s="34" t="s">
        <v>4884</v>
      </c>
      <c r="E919" s="36" t="s">
        <v>1963</v>
      </c>
      <c r="F919" s="105">
        <v>2</v>
      </c>
      <c r="G919" s="137">
        <v>150</v>
      </c>
      <c r="H919" s="122">
        <f t="shared" si="29"/>
        <v>350</v>
      </c>
      <c r="I919" s="523">
        <f t="shared" si="31"/>
        <v>0</v>
      </c>
      <c r="J919" s="524">
        <f t="shared" si="30"/>
        <v>350</v>
      </c>
      <c r="K919" s="266" t="s">
        <v>4996</v>
      </c>
      <c r="L919" s="267">
        <v>6280</v>
      </c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</row>
    <row r="920" spans="1:36" ht="20.25" customHeight="1" x14ac:dyDescent="0.2">
      <c r="A920" s="114">
        <v>915</v>
      </c>
      <c r="B920" s="47" t="s">
        <v>1964</v>
      </c>
      <c r="C920" s="10" t="s">
        <v>5675</v>
      </c>
      <c r="D920" s="11" t="s">
        <v>1965</v>
      </c>
      <c r="E920" s="5" t="s">
        <v>1963</v>
      </c>
      <c r="F920" s="100">
        <v>3</v>
      </c>
      <c r="G920" s="125">
        <v>150</v>
      </c>
      <c r="H920" s="122">
        <f t="shared" si="29"/>
        <v>350</v>
      </c>
      <c r="I920" s="520">
        <f t="shared" si="31"/>
        <v>0</v>
      </c>
      <c r="J920" s="514">
        <f t="shared" si="30"/>
        <v>350</v>
      </c>
      <c r="K920" s="262"/>
      <c r="L920" s="263"/>
    </row>
    <row r="921" spans="1:36" ht="20.25" customHeight="1" thickBot="1" x14ac:dyDescent="0.25">
      <c r="A921" s="117">
        <v>916</v>
      </c>
      <c r="B921" s="357" t="s">
        <v>1966</v>
      </c>
      <c r="C921" s="358" t="s">
        <v>5251</v>
      </c>
      <c r="D921" s="359" t="s">
        <v>1967</v>
      </c>
      <c r="E921" s="360" t="s">
        <v>1963</v>
      </c>
      <c r="F921" s="361" t="s">
        <v>17</v>
      </c>
      <c r="G921" s="362">
        <v>100</v>
      </c>
      <c r="H921" s="157">
        <f t="shared" si="29"/>
        <v>400</v>
      </c>
      <c r="I921" s="522">
        <f t="shared" si="31"/>
        <v>0</v>
      </c>
      <c r="J921" s="519">
        <f t="shared" si="30"/>
        <v>400</v>
      </c>
      <c r="K921" s="268"/>
      <c r="L921" s="276"/>
    </row>
    <row r="922" spans="1:36" ht="20.25" customHeight="1" x14ac:dyDescent="0.2">
      <c r="A922" s="108">
        <v>917</v>
      </c>
      <c r="B922" s="171" t="s">
        <v>1968</v>
      </c>
      <c r="C922" s="110" t="s">
        <v>5676</v>
      </c>
      <c r="D922" s="111" t="s">
        <v>1969</v>
      </c>
      <c r="E922" s="112" t="s">
        <v>1970</v>
      </c>
      <c r="F922" s="113">
        <v>1</v>
      </c>
      <c r="G922" s="119">
        <v>100</v>
      </c>
      <c r="H922" s="120">
        <f t="shared" si="29"/>
        <v>400</v>
      </c>
      <c r="I922" s="511">
        <f t="shared" si="31"/>
        <v>0</v>
      </c>
      <c r="J922" s="512">
        <f t="shared" si="30"/>
        <v>400</v>
      </c>
      <c r="K922" s="260"/>
      <c r="L922" s="261"/>
    </row>
    <row r="923" spans="1:36" ht="20.25" customHeight="1" x14ac:dyDescent="0.2">
      <c r="A923" s="114">
        <v>918</v>
      </c>
      <c r="B923" s="1" t="s">
        <v>1971</v>
      </c>
      <c r="C923" s="6" t="s">
        <v>5530</v>
      </c>
      <c r="D923" s="7" t="s">
        <v>1972</v>
      </c>
      <c r="E923" s="2" t="s">
        <v>1970</v>
      </c>
      <c r="F923" s="99" t="s">
        <v>11</v>
      </c>
      <c r="G923" s="121">
        <v>50</v>
      </c>
      <c r="H923" s="122">
        <f t="shared" si="29"/>
        <v>450</v>
      </c>
      <c r="I923" s="520">
        <f t="shared" si="31"/>
        <v>0</v>
      </c>
      <c r="J923" s="514">
        <f t="shared" si="30"/>
        <v>450</v>
      </c>
      <c r="K923" s="262"/>
      <c r="L923" s="263"/>
    </row>
    <row r="924" spans="1:36" ht="20.25" customHeight="1" x14ac:dyDescent="0.2">
      <c r="A924" s="114">
        <v>919</v>
      </c>
      <c r="B924" s="1" t="s">
        <v>1973</v>
      </c>
      <c r="C924" s="6" t="s">
        <v>5317</v>
      </c>
      <c r="D924" s="7" t="s">
        <v>1974</v>
      </c>
      <c r="E924" s="2" t="s">
        <v>1970</v>
      </c>
      <c r="F924" s="99" t="s">
        <v>14</v>
      </c>
      <c r="G924" s="121">
        <v>50</v>
      </c>
      <c r="H924" s="122">
        <f t="shared" si="29"/>
        <v>450</v>
      </c>
      <c r="I924" s="520">
        <f t="shared" si="31"/>
        <v>0</v>
      </c>
      <c r="J924" s="514">
        <f t="shared" si="30"/>
        <v>450</v>
      </c>
      <c r="K924" s="262"/>
      <c r="L924" s="263"/>
    </row>
    <row r="925" spans="1:36" ht="20.25" customHeight="1" thickBot="1" x14ac:dyDescent="0.25">
      <c r="A925" s="158">
        <v>920</v>
      </c>
      <c r="B925" s="159" t="s">
        <v>1975</v>
      </c>
      <c r="C925" s="160" t="s">
        <v>5677</v>
      </c>
      <c r="D925" s="161" t="s">
        <v>1976</v>
      </c>
      <c r="E925" s="162" t="s">
        <v>1970</v>
      </c>
      <c r="F925" s="163" t="s">
        <v>17</v>
      </c>
      <c r="G925" s="164">
        <v>50</v>
      </c>
      <c r="H925" s="153">
        <f t="shared" si="29"/>
        <v>450</v>
      </c>
      <c r="I925" s="521">
        <f t="shared" si="31"/>
        <v>0</v>
      </c>
      <c r="J925" s="516">
        <f t="shared" si="30"/>
        <v>450</v>
      </c>
      <c r="K925" s="277"/>
      <c r="L925" s="278"/>
    </row>
    <row r="926" spans="1:36" ht="20.25" customHeight="1" x14ac:dyDescent="0.2">
      <c r="A926" s="115">
        <v>921</v>
      </c>
      <c r="B926" s="64" t="s">
        <v>1977</v>
      </c>
      <c r="C926" s="65" t="s">
        <v>5544</v>
      </c>
      <c r="D926" s="66" t="s">
        <v>1978</v>
      </c>
      <c r="E926" s="67" t="s">
        <v>1979</v>
      </c>
      <c r="F926" s="98" t="s">
        <v>8</v>
      </c>
      <c r="G926" s="123">
        <v>100</v>
      </c>
      <c r="H926" s="124">
        <f t="shared" si="29"/>
        <v>400</v>
      </c>
      <c r="I926" s="513">
        <f t="shared" si="31"/>
        <v>0</v>
      </c>
      <c r="J926" s="517">
        <f t="shared" si="30"/>
        <v>400</v>
      </c>
      <c r="K926" s="264"/>
      <c r="L926" s="265"/>
    </row>
    <row r="927" spans="1:36" ht="20.25" customHeight="1" x14ac:dyDescent="0.2">
      <c r="A927" s="114">
        <v>922</v>
      </c>
      <c r="B927" s="1" t="s">
        <v>1980</v>
      </c>
      <c r="C927" s="6" t="s">
        <v>5667</v>
      </c>
      <c r="D927" s="7" t="s">
        <v>1981</v>
      </c>
      <c r="E927" s="2" t="s">
        <v>1979</v>
      </c>
      <c r="F927" s="99" t="s">
        <v>11</v>
      </c>
      <c r="G927" s="121">
        <v>100</v>
      </c>
      <c r="H927" s="122">
        <f t="shared" si="29"/>
        <v>400</v>
      </c>
      <c r="I927" s="520">
        <f t="shared" si="31"/>
        <v>0</v>
      </c>
      <c r="J927" s="514">
        <f t="shared" si="30"/>
        <v>400</v>
      </c>
      <c r="K927" s="262"/>
      <c r="L927" s="263"/>
    </row>
    <row r="928" spans="1:36" ht="20.25" customHeight="1" x14ac:dyDescent="0.2">
      <c r="A928" s="114">
        <v>923</v>
      </c>
      <c r="B928" s="1" t="s">
        <v>1982</v>
      </c>
      <c r="C928" s="6" t="s">
        <v>5678</v>
      </c>
      <c r="D928" s="7" t="s">
        <v>1983</v>
      </c>
      <c r="E928" s="2" t="s">
        <v>1979</v>
      </c>
      <c r="F928" s="99" t="s">
        <v>14</v>
      </c>
      <c r="G928" s="121">
        <v>100</v>
      </c>
      <c r="H928" s="122">
        <f t="shared" si="29"/>
        <v>400</v>
      </c>
      <c r="I928" s="520">
        <f t="shared" si="31"/>
        <v>0</v>
      </c>
      <c r="J928" s="514">
        <f t="shared" si="30"/>
        <v>400</v>
      </c>
      <c r="K928" s="262"/>
      <c r="L928" s="263"/>
    </row>
    <row r="929" spans="1:12" ht="20.25" customHeight="1" thickBot="1" x14ac:dyDescent="0.25">
      <c r="A929" s="117">
        <v>924</v>
      </c>
      <c r="B929" s="3" t="s">
        <v>1984</v>
      </c>
      <c r="C929" s="8" t="s">
        <v>5654</v>
      </c>
      <c r="D929" s="9" t="s">
        <v>1985</v>
      </c>
      <c r="E929" s="4" t="s">
        <v>1979</v>
      </c>
      <c r="F929" s="101" t="s">
        <v>17</v>
      </c>
      <c r="G929" s="128">
        <v>100</v>
      </c>
      <c r="H929" s="157">
        <f t="shared" si="29"/>
        <v>400</v>
      </c>
      <c r="I929" s="522">
        <f t="shared" si="31"/>
        <v>0</v>
      </c>
      <c r="J929" s="519">
        <f t="shared" si="30"/>
        <v>400</v>
      </c>
      <c r="K929" s="268"/>
      <c r="L929" s="276"/>
    </row>
    <row r="930" spans="1:12" ht="20.25" customHeight="1" x14ac:dyDescent="0.2">
      <c r="A930" s="108">
        <v>925</v>
      </c>
      <c r="B930" s="171" t="s">
        <v>1986</v>
      </c>
      <c r="C930" s="110" t="s">
        <v>5679</v>
      </c>
      <c r="D930" s="111" t="s">
        <v>1987</v>
      </c>
      <c r="E930" s="112" t="s">
        <v>1988</v>
      </c>
      <c r="F930" s="113" t="s">
        <v>8</v>
      </c>
      <c r="G930" s="119">
        <v>100</v>
      </c>
      <c r="H930" s="120">
        <f t="shared" si="29"/>
        <v>400</v>
      </c>
      <c r="I930" s="511">
        <f t="shared" si="31"/>
        <v>0</v>
      </c>
      <c r="J930" s="512">
        <f t="shared" si="30"/>
        <v>400</v>
      </c>
      <c r="K930" s="260"/>
      <c r="L930" s="261"/>
    </row>
    <row r="931" spans="1:12" ht="20.25" customHeight="1" x14ac:dyDescent="0.2">
      <c r="A931" s="114">
        <v>926</v>
      </c>
      <c r="B931" s="1" t="s">
        <v>1989</v>
      </c>
      <c r="C931" s="6" t="s">
        <v>5179</v>
      </c>
      <c r="D931" s="7" t="s">
        <v>1990</v>
      </c>
      <c r="E931" s="2" t="s">
        <v>1988</v>
      </c>
      <c r="F931" s="99" t="s">
        <v>11</v>
      </c>
      <c r="G931" s="121">
        <v>400</v>
      </c>
      <c r="H931" s="122">
        <f t="shared" si="29"/>
        <v>100</v>
      </c>
      <c r="I931" s="520">
        <f t="shared" si="31"/>
        <v>0</v>
      </c>
      <c r="J931" s="514">
        <f t="shared" si="30"/>
        <v>100</v>
      </c>
      <c r="K931" s="262"/>
      <c r="L931" s="263"/>
    </row>
    <row r="932" spans="1:12" ht="20.25" customHeight="1" x14ac:dyDescent="0.2">
      <c r="A932" s="114">
        <v>927</v>
      </c>
      <c r="B932" s="1" t="s">
        <v>1991</v>
      </c>
      <c r="C932" s="6" t="s">
        <v>5304</v>
      </c>
      <c r="D932" s="7" t="s">
        <v>1992</v>
      </c>
      <c r="E932" s="2" t="s">
        <v>1988</v>
      </c>
      <c r="F932" s="99" t="s">
        <v>14</v>
      </c>
      <c r="G932" s="121">
        <v>100</v>
      </c>
      <c r="H932" s="122">
        <f t="shared" si="29"/>
        <v>400</v>
      </c>
      <c r="I932" s="520">
        <f t="shared" si="31"/>
        <v>0</v>
      </c>
      <c r="J932" s="514">
        <f t="shared" si="30"/>
        <v>400</v>
      </c>
      <c r="K932" s="262"/>
      <c r="L932" s="263"/>
    </row>
    <row r="933" spans="1:12" ht="20.25" customHeight="1" thickBot="1" x14ac:dyDescent="0.25">
      <c r="A933" s="158">
        <v>928</v>
      </c>
      <c r="B933" s="159" t="s">
        <v>1993</v>
      </c>
      <c r="C933" s="160" t="s">
        <v>5680</v>
      </c>
      <c r="D933" s="161" t="s">
        <v>1994</v>
      </c>
      <c r="E933" s="162" t="s">
        <v>1988</v>
      </c>
      <c r="F933" s="163" t="s">
        <v>17</v>
      </c>
      <c r="G933" s="164">
        <v>100</v>
      </c>
      <c r="H933" s="153">
        <f t="shared" si="29"/>
        <v>400</v>
      </c>
      <c r="I933" s="521">
        <f t="shared" si="31"/>
        <v>0</v>
      </c>
      <c r="J933" s="516">
        <f t="shared" si="30"/>
        <v>400</v>
      </c>
      <c r="K933" s="277"/>
      <c r="L933" s="278"/>
    </row>
    <row r="934" spans="1:12" ht="20.25" customHeight="1" x14ac:dyDescent="0.2">
      <c r="A934" s="115">
        <v>929</v>
      </c>
      <c r="B934" s="64" t="s">
        <v>1995</v>
      </c>
      <c r="C934" s="65" t="s">
        <v>5681</v>
      </c>
      <c r="D934" s="66" t="s">
        <v>1996</v>
      </c>
      <c r="E934" s="67" t="s">
        <v>1997</v>
      </c>
      <c r="F934" s="98" t="s">
        <v>8</v>
      </c>
      <c r="G934" s="123">
        <v>100</v>
      </c>
      <c r="H934" s="124">
        <f t="shared" si="29"/>
        <v>400</v>
      </c>
      <c r="I934" s="513">
        <f t="shared" si="31"/>
        <v>0</v>
      </c>
      <c r="J934" s="517">
        <f t="shared" si="30"/>
        <v>400</v>
      </c>
      <c r="K934" s="264"/>
      <c r="L934" s="265"/>
    </row>
    <row r="935" spans="1:12" ht="20.25" customHeight="1" x14ac:dyDescent="0.2">
      <c r="A935" s="114">
        <v>930</v>
      </c>
      <c r="B935" s="1" t="s">
        <v>1998</v>
      </c>
      <c r="C935" s="6" t="s">
        <v>5682</v>
      </c>
      <c r="D935" s="7" t="s">
        <v>1999</v>
      </c>
      <c r="E935" s="2" t="s">
        <v>1997</v>
      </c>
      <c r="F935" s="99" t="s">
        <v>11</v>
      </c>
      <c r="G935" s="121">
        <v>100</v>
      </c>
      <c r="H935" s="122">
        <f t="shared" si="29"/>
        <v>400</v>
      </c>
      <c r="I935" s="520">
        <f t="shared" si="31"/>
        <v>0</v>
      </c>
      <c r="J935" s="514">
        <f t="shared" si="30"/>
        <v>400</v>
      </c>
      <c r="K935" s="262"/>
      <c r="L935" s="263"/>
    </row>
    <row r="936" spans="1:12" ht="20.25" customHeight="1" x14ac:dyDescent="0.2">
      <c r="A936" s="114">
        <v>931</v>
      </c>
      <c r="B936" s="1" t="s">
        <v>2000</v>
      </c>
      <c r="C936" s="6" t="s">
        <v>5122</v>
      </c>
      <c r="D936" s="7" t="s">
        <v>2001</v>
      </c>
      <c r="E936" s="2" t="s">
        <v>1997</v>
      </c>
      <c r="F936" s="99" t="s">
        <v>14</v>
      </c>
      <c r="G936" s="121">
        <v>100</v>
      </c>
      <c r="H936" s="122">
        <f t="shared" si="29"/>
        <v>400</v>
      </c>
      <c r="I936" s="520">
        <f t="shared" si="31"/>
        <v>0</v>
      </c>
      <c r="J936" s="514">
        <f t="shared" si="30"/>
        <v>400</v>
      </c>
      <c r="K936" s="262"/>
      <c r="L936" s="263"/>
    </row>
    <row r="937" spans="1:12" ht="20.25" customHeight="1" thickBot="1" x14ac:dyDescent="0.25">
      <c r="A937" s="117">
        <v>932</v>
      </c>
      <c r="B937" s="3" t="s">
        <v>2002</v>
      </c>
      <c r="C937" s="8" t="s">
        <v>5683</v>
      </c>
      <c r="D937" s="9" t="s">
        <v>37</v>
      </c>
      <c r="E937" s="4" t="s">
        <v>1997</v>
      </c>
      <c r="F937" s="101" t="s">
        <v>17</v>
      </c>
      <c r="G937" s="128">
        <v>100</v>
      </c>
      <c r="H937" s="157">
        <f t="shared" si="29"/>
        <v>400</v>
      </c>
      <c r="I937" s="522">
        <f t="shared" si="31"/>
        <v>0</v>
      </c>
      <c r="J937" s="519">
        <f t="shared" si="30"/>
        <v>400</v>
      </c>
      <c r="K937" s="268"/>
      <c r="L937" s="276"/>
    </row>
    <row r="938" spans="1:12" ht="20.25" customHeight="1" x14ac:dyDescent="0.2">
      <c r="A938" s="108">
        <v>933</v>
      </c>
      <c r="B938" s="171" t="s">
        <v>2003</v>
      </c>
      <c r="C938" s="110" t="s">
        <v>5684</v>
      </c>
      <c r="D938" s="111" t="s">
        <v>2004</v>
      </c>
      <c r="E938" s="112" t="s">
        <v>2005</v>
      </c>
      <c r="F938" s="113" t="s">
        <v>8</v>
      </c>
      <c r="G938" s="119">
        <v>50</v>
      </c>
      <c r="H938" s="120">
        <f t="shared" si="29"/>
        <v>450</v>
      </c>
      <c r="I938" s="511">
        <f t="shared" si="31"/>
        <v>0</v>
      </c>
      <c r="J938" s="512">
        <f t="shared" si="30"/>
        <v>450</v>
      </c>
      <c r="K938" s="260"/>
      <c r="L938" s="261"/>
    </row>
    <row r="939" spans="1:12" ht="20.25" customHeight="1" x14ac:dyDescent="0.2">
      <c r="A939" s="114">
        <v>934</v>
      </c>
      <c r="B939" s="1" t="s">
        <v>2006</v>
      </c>
      <c r="C939" s="6" t="s">
        <v>5666</v>
      </c>
      <c r="D939" s="7" t="s">
        <v>2007</v>
      </c>
      <c r="E939" s="2" t="s">
        <v>2005</v>
      </c>
      <c r="F939" s="99" t="s">
        <v>11</v>
      </c>
      <c r="G939" s="121">
        <v>50</v>
      </c>
      <c r="H939" s="122">
        <f t="shared" si="29"/>
        <v>450</v>
      </c>
      <c r="I939" s="520">
        <f t="shared" si="31"/>
        <v>0</v>
      </c>
      <c r="J939" s="514">
        <f t="shared" si="30"/>
        <v>450</v>
      </c>
      <c r="K939" s="262"/>
      <c r="L939" s="263"/>
    </row>
    <row r="940" spans="1:12" ht="20.25" customHeight="1" x14ac:dyDescent="0.2">
      <c r="A940" s="114">
        <v>935</v>
      </c>
      <c r="B940" s="1" t="s">
        <v>2008</v>
      </c>
      <c r="C940" s="6" t="s">
        <v>5685</v>
      </c>
      <c r="D940" s="7" t="s">
        <v>2009</v>
      </c>
      <c r="E940" s="2" t="s">
        <v>2005</v>
      </c>
      <c r="F940" s="99" t="s">
        <v>14</v>
      </c>
      <c r="G940" s="121">
        <v>50</v>
      </c>
      <c r="H940" s="122">
        <f t="shared" si="29"/>
        <v>450</v>
      </c>
      <c r="I940" s="520">
        <f t="shared" si="31"/>
        <v>0</v>
      </c>
      <c r="J940" s="514">
        <f t="shared" si="30"/>
        <v>450</v>
      </c>
      <c r="K940" s="262"/>
      <c r="L940" s="263"/>
    </row>
    <row r="941" spans="1:12" ht="20.25" customHeight="1" thickBot="1" x14ac:dyDescent="0.25">
      <c r="A941" s="158">
        <v>936</v>
      </c>
      <c r="B941" s="159" t="s">
        <v>2010</v>
      </c>
      <c r="C941" s="160" t="s">
        <v>5111</v>
      </c>
      <c r="D941" s="161" t="s">
        <v>2011</v>
      </c>
      <c r="E941" s="162" t="s">
        <v>2005</v>
      </c>
      <c r="F941" s="163" t="s">
        <v>17</v>
      </c>
      <c r="G941" s="164">
        <v>50</v>
      </c>
      <c r="H941" s="153">
        <f t="shared" si="29"/>
        <v>450</v>
      </c>
      <c r="I941" s="521">
        <f t="shared" si="31"/>
        <v>0</v>
      </c>
      <c r="J941" s="516">
        <f t="shared" si="30"/>
        <v>450</v>
      </c>
      <c r="K941" s="277"/>
      <c r="L941" s="278"/>
    </row>
    <row r="942" spans="1:12" ht="20.25" customHeight="1" x14ac:dyDescent="0.2">
      <c r="A942" s="419">
        <v>937</v>
      </c>
      <c r="B942" s="199"/>
      <c r="C942" s="420" t="s">
        <v>4946</v>
      </c>
      <c r="D942" s="201"/>
      <c r="E942" s="202" t="s">
        <v>2014</v>
      </c>
      <c r="F942" s="200" t="s">
        <v>8</v>
      </c>
      <c r="G942" s="203"/>
      <c r="H942" s="204">
        <v>0</v>
      </c>
      <c r="I942" s="540">
        <f t="shared" ref="I942:I973" si="32">+(0+0)/4</f>
        <v>0</v>
      </c>
      <c r="J942" s="541">
        <f t="shared" si="30"/>
        <v>0</v>
      </c>
      <c r="K942" s="421" t="s">
        <v>4946</v>
      </c>
      <c r="L942" s="441"/>
    </row>
    <row r="943" spans="1:12" ht="20.25" customHeight="1" x14ac:dyDescent="0.2">
      <c r="A943" s="114">
        <v>938</v>
      </c>
      <c r="B943" s="47" t="s">
        <v>2012</v>
      </c>
      <c r="C943" s="10" t="s">
        <v>5686</v>
      </c>
      <c r="D943" s="11" t="s">
        <v>2013</v>
      </c>
      <c r="E943" s="5" t="s">
        <v>2014</v>
      </c>
      <c r="F943" s="100" t="s">
        <v>11</v>
      </c>
      <c r="G943" s="125">
        <v>50</v>
      </c>
      <c r="H943" s="122">
        <f t="shared" si="29"/>
        <v>450</v>
      </c>
      <c r="I943" s="520">
        <f t="shared" si="32"/>
        <v>0</v>
      </c>
      <c r="J943" s="514">
        <f t="shared" si="30"/>
        <v>450</v>
      </c>
      <c r="K943" s="262"/>
      <c r="L943" s="263"/>
    </row>
    <row r="944" spans="1:12" ht="20.25" customHeight="1" x14ac:dyDescent="0.2">
      <c r="A944" s="114">
        <v>939</v>
      </c>
      <c r="B944" s="47" t="s">
        <v>2015</v>
      </c>
      <c r="C944" s="10" t="s">
        <v>5687</v>
      </c>
      <c r="D944" s="11" t="s">
        <v>2016</v>
      </c>
      <c r="E944" s="5" t="s">
        <v>2014</v>
      </c>
      <c r="F944" s="100" t="s">
        <v>14</v>
      </c>
      <c r="G944" s="125">
        <v>150</v>
      </c>
      <c r="H944" s="122">
        <f t="shared" si="29"/>
        <v>350</v>
      </c>
      <c r="I944" s="520">
        <f t="shared" si="32"/>
        <v>0</v>
      </c>
      <c r="J944" s="514">
        <f t="shared" si="30"/>
        <v>350</v>
      </c>
      <c r="K944" s="262"/>
      <c r="L944" s="263"/>
    </row>
    <row r="945" spans="1:12" ht="20.25" customHeight="1" thickBot="1" x14ac:dyDescent="0.25">
      <c r="A945" s="117">
        <v>940</v>
      </c>
      <c r="B945" s="357" t="s">
        <v>2017</v>
      </c>
      <c r="C945" s="358" t="s">
        <v>5688</v>
      </c>
      <c r="D945" s="359" t="s">
        <v>2018</v>
      </c>
      <c r="E945" s="360" t="s">
        <v>2014</v>
      </c>
      <c r="F945" s="361" t="s">
        <v>17</v>
      </c>
      <c r="G945" s="362">
        <v>50</v>
      </c>
      <c r="H945" s="157">
        <f t="shared" si="29"/>
        <v>450</v>
      </c>
      <c r="I945" s="522">
        <f t="shared" si="32"/>
        <v>0</v>
      </c>
      <c r="J945" s="519">
        <f t="shared" si="30"/>
        <v>450</v>
      </c>
      <c r="K945" s="268"/>
      <c r="L945" s="276"/>
    </row>
    <row r="946" spans="1:12" ht="20.25" customHeight="1" x14ac:dyDescent="0.2">
      <c r="A946" s="108">
        <v>941</v>
      </c>
      <c r="B946" s="171" t="s">
        <v>2019</v>
      </c>
      <c r="C946" s="110" t="s">
        <v>5689</v>
      </c>
      <c r="D946" s="111" t="s">
        <v>2020</v>
      </c>
      <c r="E946" s="112" t="s">
        <v>2021</v>
      </c>
      <c r="F946" s="113" t="s">
        <v>8</v>
      </c>
      <c r="G946" s="119">
        <v>100</v>
      </c>
      <c r="H946" s="120">
        <f t="shared" si="29"/>
        <v>400</v>
      </c>
      <c r="I946" s="511">
        <f t="shared" si="32"/>
        <v>0</v>
      </c>
      <c r="J946" s="512">
        <f t="shared" si="30"/>
        <v>400</v>
      </c>
      <c r="K946" s="260"/>
      <c r="L946" s="261"/>
    </row>
    <row r="947" spans="1:12" ht="20.25" customHeight="1" x14ac:dyDescent="0.2">
      <c r="A947" s="114">
        <v>942</v>
      </c>
      <c r="B947" s="1" t="s">
        <v>2022</v>
      </c>
      <c r="C947" s="6" t="s">
        <v>5690</v>
      </c>
      <c r="D947" s="7" t="s">
        <v>2023</v>
      </c>
      <c r="E947" s="2" t="s">
        <v>2021</v>
      </c>
      <c r="F947" s="99" t="s">
        <v>11</v>
      </c>
      <c r="G947" s="121">
        <v>50</v>
      </c>
      <c r="H947" s="122">
        <f t="shared" si="29"/>
        <v>450</v>
      </c>
      <c r="I947" s="520">
        <f t="shared" si="32"/>
        <v>0</v>
      </c>
      <c r="J947" s="514">
        <f t="shared" si="30"/>
        <v>450</v>
      </c>
      <c r="K947" s="262"/>
      <c r="L947" s="263"/>
    </row>
    <row r="948" spans="1:12" ht="20.25" customHeight="1" x14ac:dyDescent="0.2">
      <c r="A948" s="114">
        <v>943</v>
      </c>
      <c r="B948" s="1" t="s">
        <v>2024</v>
      </c>
      <c r="C948" s="6" t="s">
        <v>5419</v>
      </c>
      <c r="D948" s="7" t="s">
        <v>2025</v>
      </c>
      <c r="E948" s="2" t="s">
        <v>2021</v>
      </c>
      <c r="F948" s="99" t="s">
        <v>14</v>
      </c>
      <c r="G948" s="121">
        <v>150</v>
      </c>
      <c r="H948" s="122">
        <f t="shared" si="29"/>
        <v>350</v>
      </c>
      <c r="I948" s="520">
        <f t="shared" si="32"/>
        <v>0</v>
      </c>
      <c r="J948" s="514">
        <f t="shared" si="30"/>
        <v>350</v>
      </c>
      <c r="K948" s="262"/>
      <c r="L948" s="263"/>
    </row>
    <row r="949" spans="1:12" ht="20.25" customHeight="1" thickBot="1" x14ac:dyDescent="0.25">
      <c r="A949" s="158">
        <v>944</v>
      </c>
      <c r="B949" s="159" t="s">
        <v>2026</v>
      </c>
      <c r="C949" s="160" t="s">
        <v>5691</v>
      </c>
      <c r="D949" s="161" t="s">
        <v>2027</v>
      </c>
      <c r="E949" s="162" t="s">
        <v>2021</v>
      </c>
      <c r="F949" s="163" t="s">
        <v>17</v>
      </c>
      <c r="G949" s="164">
        <v>50</v>
      </c>
      <c r="H949" s="153">
        <f t="shared" si="29"/>
        <v>450</v>
      </c>
      <c r="I949" s="521">
        <f t="shared" si="32"/>
        <v>0</v>
      </c>
      <c r="J949" s="516">
        <f t="shared" si="30"/>
        <v>450</v>
      </c>
      <c r="K949" s="277"/>
      <c r="L949" s="278"/>
    </row>
    <row r="950" spans="1:12" ht="20.25" customHeight="1" x14ac:dyDescent="0.2">
      <c r="A950" s="115">
        <v>945</v>
      </c>
      <c r="B950" s="64" t="s">
        <v>2028</v>
      </c>
      <c r="C950" s="65" t="s">
        <v>5692</v>
      </c>
      <c r="D950" s="66" t="s">
        <v>2029</v>
      </c>
      <c r="E950" s="67" t="s">
        <v>2030</v>
      </c>
      <c r="F950" s="98" t="s">
        <v>8</v>
      </c>
      <c r="G950" s="123">
        <v>100</v>
      </c>
      <c r="H950" s="124">
        <f t="shared" si="29"/>
        <v>400</v>
      </c>
      <c r="I950" s="513">
        <f t="shared" si="32"/>
        <v>0</v>
      </c>
      <c r="J950" s="517">
        <f t="shared" si="30"/>
        <v>400</v>
      </c>
      <c r="K950" s="264"/>
      <c r="L950" s="265"/>
    </row>
    <row r="951" spans="1:12" ht="20.25" customHeight="1" x14ac:dyDescent="0.2">
      <c r="A951" s="114">
        <v>946</v>
      </c>
      <c r="B951" s="1" t="s">
        <v>2031</v>
      </c>
      <c r="C951" s="6" t="s">
        <v>5622</v>
      </c>
      <c r="D951" s="7" t="s">
        <v>2032</v>
      </c>
      <c r="E951" s="2" t="s">
        <v>2030</v>
      </c>
      <c r="F951" s="99" t="s">
        <v>11</v>
      </c>
      <c r="G951" s="121">
        <v>400</v>
      </c>
      <c r="H951" s="122">
        <f t="shared" si="29"/>
        <v>100</v>
      </c>
      <c r="I951" s="520">
        <f t="shared" si="32"/>
        <v>0</v>
      </c>
      <c r="J951" s="514">
        <f t="shared" si="30"/>
        <v>100</v>
      </c>
      <c r="K951" s="262"/>
      <c r="L951" s="263"/>
    </row>
    <row r="952" spans="1:12" ht="20.25" customHeight="1" x14ac:dyDescent="0.2">
      <c r="A952" s="114">
        <v>947</v>
      </c>
      <c r="B952" s="1" t="s">
        <v>2033</v>
      </c>
      <c r="C952" s="6" t="s">
        <v>5693</v>
      </c>
      <c r="D952" s="7" t="s">
        <v>2034</v>
      </c>
      <c r="E952" s="2" t="s">
        <v>2030</v>
      </c>
      <c r="F952" s="99" t="s">
        <v>14</v>
      </c>
      <c r="G952" s="121">
        <v>100</v>
      </c>
      <c r="H952" s="122">
        <f t="shared" si="29"/>
        <v>400</v>
      </c>
      <c r="I952" s="520">
        <f t="shared" si="32"/>
        <v>0</v>
      </c>
      <c r="J952" s="514">
        <f t="shared" si="30"/>
        <v>400</v>
      </c>
      <c r="K952" s="262"/>
      <c r="L952" s="263"/>
    </row>
    <row r="953" spans="1:12" ht="20.25" customHeight="1" thickBot="1" x14ac:dyDescent="0.25">
      <c r="A953" s="117">
        <v>948</v>
      </c>
      <c r="B953" s="3" t="s">
        <v>2035</v>
      </c>
      <c r="C953" s="8" t="s">
        <v>5234</v>
      </c>
      <c r="D953" s="9" t="s">
        <v>2036</v>
      </c>
      <c r="E953" s="4" t="s">
        <v>2030</v>
      </c>
      <c r="F953" s="101" t="s">
        <v>17</v>
      </c>
      <c r="G953" s="128">
        <v>50</v>
      </c>
      <c r="H953" s="157">
        <f t="shared" si="29"/>
        <v>450</v>
      </c>
      <c r="I953" s="522">
        <f t="shared" si="32"/>
        <v>0</v>
      </c>
      <c r="J953" s="519">
        <f t="shared" si="30"/>
        <v>450</v>
      </c>
      <c r="K953" s="268"/>
      <c r="L953" s="276"/>
    </row>
    <row r="954" spans="1:12" ht="20.25" customHeight="1" x14ac:dyDescent="0.2">
      <c r="A954" s="108">
        <v>949</v>
      </c>
      <c r="B954" s="171" t="s">
        <v>2037</v>
      </c>
      <c r="C954" s="110" t="s">
        <v>5694</v>
      </c>
      <c r="D954" s="111" t="s">
        <v>2038</v>
      </c>
      <c r="E954" s="112" t="s">
        <v>2039</v>
      </c>
      <c r="F954" s="113" t="s">
        <v>8</v>
      </c>
      <c r="G954" s="119">
        <v>50</v>
      </c>
      <c r="H954" s="120">
        <f t="shared" si="29"/>
        <v>450</v>
      </c>
      <c r="I954" s="511">
        <f t="shared" si="32"/>
        <v>0</v>
      </c>
      <c r="J954" s="512">
        <f t="shared" si="30"/>
        <v>450</v>
      </c>
      <c r="K954" s="260"/>
      <c r="L954" s="261"/>
    </row>
    <row r="955" spans="1:12" ht="20.25" customHeight="1" x14ac:dyDescent="0.2">
      <c r="A955" s="114">
        <v>950</v>
      </c>
      <c r="B955" s="1" t="s">
        <v>2040</v>
      </c>
      <c r="C955" s="6" t="s">
        <v>5562</v>
      </c>
      <c r="D955" s="7" t="s">
        <v>2041</v>
      </c>
      <c r="E955" s="2" t="s">
        <v>2039</v>
      </c>
      <c r="F955" s="99" t="s">
        <v>11</v>
      </c>
      <c r="G955" s="121">
        <v>50</v>
      </c>
      <c r="H955" s="122">
        <f t="shared" si="29"/>
        <v>450</v>
      </c>
      <c r="I955" s="520">
        <f t="shared" si="32"/>
        <v>0</v>
      </c>
      <c r="J955" s="514">
        <f t="shared" si="30"/>
        <v>450</v>
      </c>
      <c r="K955" s="262"/>
      <c r="L955" s="263"/>
    </row>
    <row r="956" spans="1:12" ht="20.25" customHeight="1" x14ac:dyDescent="0.2">
      <c r="A956" s="114">
        <v>951</v>
      </c>
      <c r="B956" s="1" t="s">
        <v>2042</v>
      </c>
      <c r="C956" s="6" t="s">
        <v>5695</v>
      </c>
      <c r="D956" s="7" t="s">
        <v>2043</v>
      </c>
      <c r="E956" s="2" t="s">
        <v>2039</v>
      </c>
      <c r="F956" s="99" t="s">
        <v>14</v>
      </c>
      <c r="G956" s="121">
        <v>150</v>
      </c>
      <c r="H956" s="122">
        <f t="shared" si="29"/>
        <v>350</v>
      </c>
      <c r="I956" s="520">
        <f t="shared" si="32"/>
        <v>0</v>
      </c>
      <c r="J956" s="514">
        <f t="shared" si="30"/>
        <v>350</v>
      </c>
      <c r="K956" s="262"/>
      <c r="L956" s="263"/>
    </row>
    <row r="957" spans="1:12" ht="20.25" customHeight="1" thickBot="1" x14ac:dyDescent="0.25">
      <c r="A957" s="158">
        <v>952</v>
      </c>
      <c r="B957" s="159" t="s">
        <v>2044</v>
      </c>
      <c r="C957" s="160" t="s">
        <v>5057</v>
      </c>
      <c r="D957" s="161" t="s">
        <v>2045</v>
      </c>
      <c r="E957" s="162" t="s">
        <v>2039</v>
      </c>
      <c r="F957" s="163" t="s">
        <v>17</v>
      </c>
      <c r="G957" s="164">
        <v>150</v>
      </c>
      <c r="H957" s="153">
        <f t="shared" si="29"/>
        <v>350</v>
      </c>
      <c r="I957" s="521">
        <f t="shared" si="32"/>
        <v>0</v>
      </c>
      <c r="J957" s="516">
        <f t="shared" si="30"/>
        <v>350</v>
      </c>
      <c r="K957" s="277"/>
      <c r="L957" s="278"/>
    </row>
    <row r="958" spans="1:12" ht="20.25" customHeight="1" x14ac:dyDescent="0.2">
      <c r="A958" s="115">
        <v>953</v>
      </c>
      <c r="B958" s="64" t="s">
        <v>2046</v>
      </c>
      <c r="C958" s="65" t="s">
        <v>5696</v>
      </c>
      <c r="D958" s="66" t="s">
        <v>2047</v>
      </c>
      <c r="E958" s="67" t="s">
        <v>2048</v>
      </c>
      <c r="F958" s="98" t="s">
        <v>8</v>
      </c>
      <c r="G958" s="123">
        <v>50</v>
      </c>
      <c r="H958" s="124">
        <f t="shared" si="29"/>
        <v>450</v>
      </c>
      <c r="I958" s="513">
        <f t="shared" si="32"/>
        <v>0</v>
      </c>
      <c r="J958" s="517">
        <f t="shared" si="30"/>
        <v>450</v>
      </c>
      <c r="K958" s="264"/>
      <c r="L958" s="265"/>
    </row>
    <row r="959" spans="1:12" ht="20.25" customHeight="1" x14ac:dyDescent="0.2">
      <c r="A959" s="114">
        <v>954</v>
      </c>
      <c r="B959" s="1" t="s">
        <v>2049</v>
      </c>
      <c r="C959" s="6" t="s">
        <v>5697</v>
      </c>
      <c r="D959" s="7" t="s">
        <v>2050</v>
      </c>
      <c r="E959" s="2" t="s">
        <v>2048</v>
      </c>
      <c r="F959" s="99" t="s">
        <v>11</v>
      </c>
      <c r="G959" s="121">
        <v>50</v>
      </c>
      <c r="H959" s="122">
        <f t="shared" si="29"/>
        <v>450</v>
      </c>
      <c r="I959" s="520">
        <f t="shared" si="32"/>
        <v>0</v>
      </c>
      <c r="J959" s="514">
        <f t="shared" si="30"/>
        <v>450</v>
      </c>
      <c r="K959" s="262"/>
      <c r="L959" s="263"/>
    </row>
    <row r="960" spans="1:12" ht="20.25" customHeight="1" x14ac:dyDescent="0.2">
      <c r="A960" s="114">
        <v>955</v>
      </c>
      <c r="B960" s="1" t="s">
        <v>2051</v>
      </c>
      <c r="C960" s="6" t="s">
        <v>5698</v>
      </c>
      <c r="D960" s="7" t="s">
        <v>2052</v>
      </c>
      <c r="E960" s="2" t="s">
        <v>2048</v>
      </c>
      <c r="F960" s="99" t="s">
        <v>14</v>
      </c>
      <c r="G960" s="121">
        <v>50</v>
      </c>
      <c r="H960" s="122">
        <f t="shared" si="29"/>
        <v>450</v>
      </c>
      <c r="I960" s="520">
        <f t="shared" si="32"/>
        <v>0</v>
      </c>
      <c r="J960" s="514">
        <f t="shared" si="30"/>
        <v>450</v>
      </c>
      <c r="K960" s="262"/>
      <c r="L960" s="263"/>
    </row>
    <row r="961" spans="1:12" ht="20.25" customHeight="1" thickBot="1" x14ac:dyDescent="0.25">
      <c r="A961" s="117">
        <v>956</v>
      </c>
      <c r="B961" s="3" t="s">
        <v>2053</v>
      </c>
      <c r="C961" s="8" t="s">
        <v>5056</v>
      </c>
      <c r="D961" s="9" t="s">
        <v>2054</v>
      </c>
      <c r="E961" s="4" t="s">
        <v>2048</v>
      </c>
      <c r="F961" s="101" t="s">
        <v>17</v>
      </c>
      <c r="G961" s="128">
        <v>50</v>
      </c>
      <c r="H961" s="157">
        <f t="shared" si="29"/>
        <v>450</v>
      </c>
      <c r="I961" s="522">
        <f t="shared" si="32"/>
        <v>0</v>
      </c>
      <c r="J961" s="519">
        <f t="shared" si="30"/>
        <v>450</v>
      </c>
      <c r="K961" s="268"/>
      <c r="L961" s="276"/>
    </row>
    <row r="962" spans="1:12" ht="20.25" customHeight="1" x14ac:dyDescent="0.2">
      <c r="A962" s="108">
        <v>957</v>
      </c>
      <c r="B962" s="174" t="s">
        <v>4964</v>
      </c>
      <c r="C962" s="175" t="s">
        <v>5699</v>
      </c>
      <c r="D962" s="176" t="s">
        <v>4885</v>
      </c>
      <c r="E962" s="177" t="s">
        <v>2056</v>
      </c>
      <c r="F962" s="178" t="s">
        <v>8</v>
      </c>
      <c r="G962" s="179">
        <v>150</v>
      </c>
      <c r="H962" s="120">
        <f t="shared" si="29"/>
        <v>350</v>
      </c>
      <c r="I962" s="511">
        <f t="shared" si="32"/>
        <v>0</v>
      </c>
      <c r="J962" s="512">
        <f t="shared" si="30"/>
        <v>350</v>
      </c>
      <c r="K962" s="260"/>
      <c r="L962" s="261"/>
    </row>
    <row r="963" spans="1:12" ht="20.25" customHeight="1" x14ac:dyDescent="0.2">
      <c r="A963" s="114">
        <v>958</v>
      </c>
      <c r="B963" s="47" t="s">
        <v>2055</v>
      </c>
      <c r="C963" s="10" t="s">
        <v>5564</v>
      </c>
      <c r="D963" s="11" t="s">
        <v>1846</v>
      </c>
      <c r="E963" s="5" t="s">
        <v>2056</v>
      </c>
      <c r="F963" s="100" t="s">
        <v>11</v>
      </c>
      <c r="G963" s="125">
        <v>50</v>
      </c>
      <c r="H963" s="122">
        <f t="shared" si="29"/>
        <v>450</v>
      </c>
      <c r="I963" s="520">
        <f t="shared" si="32"/>
        <v>0</v>
      </c>
      <c r="J963" s="514">
        <f t="shared" si="30"/>
        <v>450</v>
      </c>
      <c r="K963" s="262"/>
      <c r="L963" s="263"/>
    </row>
    <row r="964" spans="1:12" ht="20.25" customHeight="1" x14ac:dyDescent="0.2">
      <c r="A964" s="114">
        <v>959</v>
      </c>
      <c r="B964" s="47" t="s">
        <v>2057</v>
      </c>
      <c r="C964" s="10" t="s">
        <v>5622</v>
      </c>
      <c r="D964" s="11" t="s">
        <v>2058</v>
      </c>
      <c r="E964" s="5">
        <v>1827</v>
      </c>
      <c r="F964" s="100" t="s">
        <v>14</v>
      </c>
      <c r="G964" s="125">
        <v>100</v>
      </c>
      <c r="H964" s="122">
        <f t="shared" si="29"/>
        <v>400</v>
      </c>
      <c r="I964" s="520">
        <f t="shared" si="32"/>
        <v>0</v>
      </c>
      <c r="J964" s="514">
        <f t="shared" si="30"/>
        <v>400</v>
      </c>
      <c r="K964" s="262"/>
      <c r="L964" s="263"/>
    </row>
    <row r="965" spans="1:12" ht="20.25" customHeight="1" thickBot="1" x14ac:dyDescent="0.25">
      <c r="A965" s="158">
        <v>960</v>
      </c>
      <c r="B965" s="192" t="s">
        <v>2059</v>
      </c>
      <c r="C965" s="193" t="s">
        <v>5700</v>
      </c>
      <c r="D965" s="194" t="s">
        <v>2060</v>
      </c>
      <c r="E965" s="195" t="s">
        <v>2056</v>
      </c>
      <c r="F965" s="196" t="s">
        <v>17</v>
      </c>
      <c r="G965" s="197">
        <v>50</v>
      </c>
      <c r="H965" s="153">
        <f t="shared" si="29"/>
        <v>450</v>
      </c>
      <c r="I965" s="521">
        <f t="shared" si="32"/>
        <v>0</v>
      </c>
      <c r="J965" s="516">
        <f t="shared" si="30"/>
        <v>450</v>
      </c>
      <c r="K965" s="277"/>
      <c r="L965" s="278"/>
    </row>
    <row r="966" spans="1:12" ht="20.25" customHeight="1" x14ac:dyDescent="0.2">
      <c r="A966" s="115">
        <v>961</v>
      </c>
      <c r="B966" s="64" t="s">
        <v>2061</v>
      </c>
      <c r="C966" s="65" t="s">
        <v>5701</v>
      </c>
      <c r="D966" s="66" t="s">
        <v>2062</v>
      </c>
      <c r="E966" s="67" t="s">
        <v>2063</v>
      </c>
      <c r="F966" s="98" t="s">
        <v>8</v>
      </c>
      <c r="G966" s="123">
        <v>50</v>
      </c>
      <c r="H966" s="124">
        <f t="shared" si="29"/>
        <v>450</v>
      </c>
      <c r="I966" s="513">
        <f t="shared" si="32"/>
        <v>0</v>
      </c>
      <c r="J966" s="517">
        <f t="shared" si="30"/>
        <v>450</v>
      </c>
      <c r="K966" s="264"/>
      <c r="L966" s="265"/>
    </row>
    <row r="967" spans="1:12" ht="20.25" customHeight="1" x14ac:dyDescent="0.2">
      <c r="A967" s="114">
        <v>962</v>
      </c>
      <c r="B967" s="1" t="s">
        <v>2064</v>
      </c>
      <c r="C967" s="6" t="s">
        <v>5472</v>
      </c>
      <c r="D967" s="7" t="s">
        <v>2065</v>
      </c>
      <c r="E967" s="2" t="s">
        <v>2063</v>
      </c>
      <c r="F967" s="99" t="s">
        <v>11</v>
      </c>
      <c r="G967" s="121">
        <v>50</v>
      </c>
      <c r="H967" s="122">
        <f t="shared" ref="H967:H1001" si="33">500-G967</f>
        <v>450</v>
      </c>
      <c r="I967" s="520">
        <f t="shared" si="32"/>
        <v>0</v>
      </c>
      <c r="J967" s="514">
        <f t="shared" si="30"/>
        <v>450</v>
      </c>
      <c r="K967" s="262"/>
      <c r="L967" s="263"/>
    </row>
    <row r="968" spans="1:12" ht="20.25" customHeight="1" x14ac:dyDescent="0.2">
      <c r="A968" s="114">
        <v>963</v>
      </c>
      <c r="B968" s="1" t="s">
        <v>2066</v>
      </c>
      <c r="C968" s="6" t="s">
        <v>5702</v>
      </c>
      <c r="D968" s="7" t="s">
        <v>2067</v>
      </c>
      <c r="E968" s="2" t="s">
        <v>2063</v>
      </c>
      <c r="F968" s="99" t="s">
        <v>14</v>
      </c>
      <c r="G968" s="121">
        <v>50</v>
      </c>
      <c r="H968" s="122">
        <f t="shared" si="33"/>
        <v>450</v>
      </c>
      <c r="I968" s="520">
        <f t="shared" si="32"/>
        <v>0</v>
      </c>
      <c r="J968" s="514">
        <f t="shared" ref="J968:J1001" si="34">SUM(H968:I968)</f>
        <v>450</v>
      </c>
      <c r="K968" s="262"/>
      <c r="L968" s="263"/>
    </row>
    <row r="969" spans="1:12" ht="20.25" customHeight="1" thickBot="1" x14ac:dyDescent="0.25">
      <c r="A969" s="117">
        <v>964</v>
      </c>
      <c r="B969" s="3" t="s">
        <v>2068</v>
      </c>
      <c r="C969" s="8" t="s">
        <v>5647</v>
      </c>
      <c r="D969" s="9" t="s">
        <v>2069</v>
      </c>
      <c r="E969" s="4" t="s">
        <v>2063</v>
      </c>
      <c r="F969" s="101" t="s">
        <v>17</v>
      </c>
      <c r="G969" s="128">
        <v>50</v>
      </c>
      <c r="H969" s="157">
        <f t="shared" si="33"/>
        <v>450</v>
      </c>
      <c r="I969" s="522">
        <f t="shared" si="32"/>
        <v>0</v>
      </c>
      <c r="J969" s="519">
        <f t="shared" si="34"/>
        <v>450</v>
      </c>
      <c r="K969" s="268"/>
      <c r="L969" s="276"/>
    </row>
    <row r="970" spans="1:12" ht="20.25" customHeight="1" x14ac:dyDescent="0.2">
      <c r="A970" s="108">
        <v>965</v>
      </c>
      <c r="B970" s="171" t="s">
        <v>2070</v>
      </c>
      <c r="C970" s="110" t="s">
        <v>5335</v>
      </c>
      <c r="D970" s="111" t="s">
        <v>2071</v>
      </c>
      <c r="E970" s="112" t="s">
        <v>2072</v>
      </c>
      <c r="F970" s="113" t="s">
        <v>8</v>
      </c>
      <c r="G970" s="119">
        <v>100</v>
      </c>
      <c r="H970" s="120">
        <f t="shared" si="33"/>
        <v>400</v>
      </c>
      <c r="I970" s="511">
        <f t="shared" si="32"/>
        <v>0</v>
      </c>
      <c r="J970" s="512">
        <f t="shared" si="34"/>
        <v>400</v>
      </c>
      <c r="K970" s="260"/>
      <c r="L970" s="261"/>
    </row>
    <row r="971" spans="1:12" ht="20.25" customHeight="1" x14ac:dyDescent="0.2">
      <c r="A971" s="114">
        <v>966</v>
      </c>
      <c r="B971" s="1" t="s">
        <v>2073</v>
      </c>
      <c r="C971" s="6" t="s">
        <v>5703</v>
      </c>
      <c r="D971" s="7" t="s">
        <v>2074</v>
      </c>
      <c r="E971" s="2" t="s">
        <v>2072</v>
      </c>
      <c r="F971" s="99" t="s">
        <v>11</v>
      </c>
      <c r="G971" s="121">
        <v>100</v>
      </c>
      <c r="H971" s="122">
        <f t="shared" si="33"/>
        <v>400</v>
      </c>
      <c r="I971" s="520">
        <f t="shared" si="32"/>
        <v>0</v>
      </c>
      <c r="J971" s="514">
        <f t="shared" si="34"/>
        <v>400</v>
      </c>
      <c r="K971" s="262"/>
      <c r="L971" s="263"/>
    </row>
    <row r="972" spans="1:12" ht="20.25" customHeight="1" x14ac:dyDescent="0.2">
      <c r="A972" s="114">
        <v>967</v>
      </c>
      <c r="B972" s="1" t="s">
        <v>2075</v>
      </c>
      <c r="C972" s="6" t="s">
        <v>5501</v>
      </c>
      <c r="D972" s="7" t="s">
        <v>2076</v>
      </c>
      <c r="E972" s="2" t="s">
        <v>2072</v>
      </c>
      <c r="F972" s="99" t="s">
        <v>14</v>
      </c>
      <c r="G972" s="121">
        <v>50</v>
      </c>
      <c r="H972" s="122">
        <f t="shared" si="33"/>
        <v>450</v>
      </c>
      <c r="I972" s="520">
        <f t="shared" si="32"/>
        <v>0</v>
      </c>
      <c r="J972" s="514">
        <f t="shared" si="34"/>
        <v>450</v>
      </c>
      <c r="K972" s="262"/>
      <c r="L972" s="263"/>
    </row>
    <row r="973" spans="1:12" ht="20.25" customHeight="1" thickBot="1" x14ac:dyDescent="0.25">
      <c r="A973" s="158">
        <v>968</v>
      </c>
      <c r="B973" s="159" t="s">
        <v>2077</v>
      </c>
      <c r="C973" s="160" t="s">
        <v>5704</v>
      </c>
      <c r="D973" s="161" t="s">
        <v>2078</v>
      </c>
      <c r="E973" s="162" t="s">
        <v>2072</v>
      </c>
      <c r="F973" s="163" t="s">
        <v>17</v>
      </c>
      <c r="G973" s="164">
        <v>100</v>
      </c>
      <c r="H973" s="153">
        <f t="shared" si="33"/>
        <v>400</v>
      </c>
      <c r="I973" s="521">
        <f t="shared" si="32"/>
        <v>0</v>
      </c>
      <c r="J973" s="516">
        <f t="shared" si="34"/>
        <v>400</v>
      </c>
      <c r="K973" s="277"/>
      <c r="L973" s="278"/>
    </row>
    <row r="974" spans="1:12" ht="20.25" customHeight="1" x14ac:dyDescent="0.2">
      <c r="A974" s="115">
        <v>969</v>
      </c>
      <c r="B974" s="64" t="s">
        <v>2079</v>
      </c>
      <c r="C974" s="65" t="s">
        <v>5705</v>
      </c>
      <c r="D974" s="66" t="s">
        <v>2080</v>
      </c>
      <c r="E974" s="67" t="s">
        <v>2081</v>
      </c>
      <c r="F974" s="98" t="s">
        <v>8</v>
      </c>
      <c r="G974" s="123">
        <v>100</v>
      </c>
      <c r="H974" s="124">
        <f t="shared" si="33"/>
        <v>400</v>
      </c>
      <c r="I974" s="513">
        <f>+(0+1490)/4</f>
        <v>372.5</v>
      </c>
      <c r="J974" s="517">
        <f t="shared" si="34"/>
        <v>772.5</v>
      </c>
      <c r="K974" s="264"/>
      <c r="L974" s="265"/>
    </row>
    <row r="975" spans="1:12" ht="20.25" customHeight="1" x14ac:dyDescent="0.2">
      <c r="A975" s="114">
        <v>970</v>
      </c>
      <c r="B975" s="1" t="s">
        <v>2082</v>
      </c>
      <c r="C975" s="6" t="s">
        <v>5706</v>
      </c>
      <c r="D975" s="7" t="s">
        <v>2083</v>
      </c>
      <c r="E975" s="2" t="s">
        <v>2081</v>
      </c>
      <c r="F975" s="99" t="s">
        <v>11</v>
      </c>
      <c r="G975" s="121">
        <v>100</v>
      </c>
      <c r="H975" s="122">
        <f t="shared" si="33"/>
        <v>400</v>
      </c>
      <c r="I975" s="520">
        <f>+(0+1490)/4</f>
        <v>372.5</v>
      </c>
      <c r="J975" s="514">
        <f t="shared" si="34"/>
        <v>772.5</v>
      </c>
      <c r="K975" s="262"/>
      <c r="L975" s="263"/>
    </row>
    <row r="976" spans="1:12" ht="20.25" customHeight="1" x14ac:dyDescent="0.2">
      <c r="A976" s="114">
        <v>971</v>
      </c>
      <c r="B976" s="1" t="s">
        <v>2084</v>
      </c>
      <c r="C976" s="6" t="s">
        <v>5707</v>
      </c>
      <c r="D976" s="7" t="s">
        <v>2085</v>
      </c>
      <c r="E976" s="2" t="s">
        <v>2081</v>
      </c>
      <c r="F976" s="99" t="s">
        <v>14</v>
      </c>
      <c r="G976" s="121">
        <v>50</v>
      </c>
      <c r="H976" s="122">
        <f t="shared" si="33"/>
        <v>450</v>
      </c>
      <c r="I976" s="520">
        <f>+(0+1490)/4</f>
        <v>372.5</v>
      </c>
      <c r="J976" s="514">
        <f t="shared" si="34"/>
        <v>822.5</v>
      </c>
      <c r="K976" s="262"/>
      <c r="L976" s="263"/>
    </row>
    <row r="977" spans="1:12" ht="20.25" customHeight="1" thickBot="1" x14ac:dyDescent="0.35">
      <c r="A977" s="444">
        <v>972</v>
      </c>
      <c r="B977" s="445" t="s">
        <v>5006</v>
      </c>
      <c r="C977" s="442" t="s">
        <v>5708</v>
      </c>
      <c r="D977" s="443" t="s">
        <v>5007</v>
      </c>
      <c r="E977" s="383">
        <v>1830</v>
      </c>
      <c r="F977" s="384">
        <v>4</v>
      </c>
      <c r="G977" s="385">
        <v>150</v>
      </c>
      <c r="H977" s="157">
        <f t="shared" si="33"/>
        <v>350</v>
      </c>
      <c r="I977" s="522">
        <f>+(0+1490)/4</f>
        <v>372.5</v>
      </c>
      <c r="J977" s="519">
        <f t="shared" si="34"/>
        <v>722.5</v>
      </c>
      <c r="K977" s="268"/>
      <c r="L977" s="276"/>
    </row>
    <row r="978" spans="1:12" ht="20.25" customHeight="1" x14ac:dyDescent="0.2">
      <c r="A978" s="108">
        <v>973</v>
      </c>
      <c r="B978" s="174" t="s">
        <v>2086</v>
      </c>
      <c r="C978" s="175" t="s">
        <v>5709</v>
      </c>
      <c r="D978" s="176" t="s">
        <v>2087</v>
      </c>
      <c r="E978" s="177" t="s">
        <v>2088</v>
      </c>
      <c r="F978" s="178" t="s">
        <v>8</v>
      </c>
      <c r="G978" s="179">
        <v>50</v>
      </c>
      <c r="H978" s="120">
        <f t="shared" si="33"/>
        <v>450</v>
      </c>
      <c r="I978" s="511">
        <f t="shared" ref="I978:I997" si="35">+(0+0)/4</f>
        <v>0</v>
      </c>
      <c r="J978" s="512">
        <f t="shared" si="34"/>
        <v>450</v>
      </c>
      <c r="K978" s="260"/>
      <c r="L978" s="261"/>
    </row>
    <row r="979" spans="1:12" ht="20.25" customHeight="1" x14ac:dyDescent="0.2">
      <c r="A979" s="114">
        <v>974</v>
      </c>
      <c r="B979" s="47" t="s">
        <v>2089</v>
      </c>
      <c r="C979" s="10" t="s">
        <v>5209</v>
      </c>
      <c r="D979" s="11" t="s">
        <v>2090</v>
      </c>
      <c r="E979" s="5" t="s">
        <v>2088</v>
      </c>
      <c r="F979" s="100" t="s">
        <v>11</v>
      </c>
      <c r="G979" s="125">
        <v>150</v>
      </c>
      <c r="H979" s="122">
        <f t="shared" si="33"/>
        <v>350</v>
      </c>
      <c r="I979" s="520">
        <f t="shared" si="35"/>
        <v>0</v>
      </c>
      <c r="J979" s="514">
        <f t="shared" si="34"/>
        <v>350</v>
      </c>
      <c r="K979" s="262"/>
      <c r="L979" s="263"/>
    </row>
    <row r="980" spans="1:12" ht="20.25" customHeight="1" x14ac:dyDescent="0.2">
      <c r="A980" s="114">
        <v>975</v>
      </c>
      <c r="B980" s="47" t="s">
        <v>2091</v>
      </c>
      <c r="C980" s="10" t="s">
        <v>5710</v>
      </c>
      <c r="D980" s="11" t="s">
        <v>2092</v>
      </c>
      <c r="E980" s="5" t="s">
        <v>2088</v>
      </c>
      <c r="F980" s="100" t="s">
        <v>14</v>
      </c>
      <c r="G980" s="125">
        <v>100</v>
      </c>
      <c r="H980" s="122">
        <f t="shared" si="33"/>
        <v>400</v>
      </c>
      <c r="I980" s="520">
        <f t="shared" si="35"/>
        <v>0</v>
      </c>
      <c r="J980" s="514">
        <f t="shared" si="34"/>
        <v>400</v>
      </c>
      <c r="K980" s="262"/>
      <c r="L980" s="263"/>
    </row>
    <row r="981" spans="1:12" ht="20.25" customHeight="1" thickBot="1" x14ac:dyDescent="0.25">
      <c r="A981" s="158">
        <v>976</v>
      </c>
      <c r="B981" s="401" t="s">
        <v>4965</v>
      </c>
      <c r="C981" s="402" t="s">
        <v>5686</v>
      </c>
      <c r="D981" s="403" t="s">
        <v>4886</v>
      </c>
      <c r="E981" s="195" t="s">
        <v>2088</v>
      </c>
      <c r="F981" s="196" t="s">
        <v>17</v>
      </c>
      <c r="G981" s="197">
        <v>150</v>
      </c>
      <c r="H981" s="153">
        <f t="shared" si="33"/>
        <v>350</v>
      </c>
      <c r="I981" s="521">
        <f t="shared" si="35"/>
        <v>0</v>
      </c>
      <c r="J981" s="516">
        <f t="shared" si="34"/>
        <v>350</v>
      </c>
      <c r="K981" s="277"/>
      <c r="L981" s="278"/>
    </row>
    <row r="982" spans="1:12" ht="20.25" customHeight="1" x14ac:dyDescent="0.2">
      <c r="A982" s="115">
        <v>977</v>
      </c>
      <c r="B982" s="64" t="s">
        <v>2093</v>
      </c>
      <c r="C982" s="65" t="s">
        <v>5234</v>
      </c>
      <c r="D982" s="66" t="s">
        <v>2094</v>
      </c>
      <c r="E982" s="67" t="s">
        <v>2095</v>
      </c>
      <c r="F982" s="98" t="s">
        <v>8</v>
      </c>
      <c r="G982" s="123">
        <v>50</v>
      </c>
      <c r="H982" s="124">
        <f t="shared" si="33"/>
        <v>450</v>
      </c>
      <c r="I982" s="513">
        <f t="shared" si="35"/>
        <v>0</v>
      </c>
      <c r="J982" s="517">
        <f t="shared" si="34"/>
        <v>450</v>
      </c>
      <c r="K982" s="264"/>
      <c r="L982" s="265"/>
    </row>
    <row r="983" spans="1:12" ht="20.25" customHeight="1" x14ac:dyDescent="0.2">
      <c r="A983" s="114">
        <v>978</v>
      </c>
      <c r="B983" s="1" t="s">
        <v>2096</v>
      </c>
      <c r="C983" s="6" t="s">
        <v>5711</v>
      </c>
      <c r="D983" s="7" t="s">
        <v>2097</v>
      </c>
      <c r="E983" s="2" t="s">
        <v>2095</v>
      </c>
      <c r="F983" s="99" t="s">
        <v>11</v>
      </c>
      <c r="G983" s="121">
        <v>50</v>
      </c>
      <c r="H983" s="122">
        <f t="shared" si="33"/>
        <v>450</v>
      </c>
      <c r="I983" s="520">
        <f t="shared" si="35"/>
        <v>0</v>
      </c>
      <c r="J983" s="514">
        <f t="shared" si="34"/>
        <v>450</v>
      </c>
      <c r="K983" s="262"/>
      <c r="L983" s="263"/>
    </row>
    <row r="984" spans="1:12" ht="20.25" customHeight="1" x14ac:dyDescent="0.2">
      <c r="A984" s="114">
        <v>979</v>
      </c>
      <c r="B984" s="1" t="s">
        <v>2098</v>
      </c>
      <c r="C984" s="6" t="s">
        <v>5105</v>
      </c>
      <c r="D984" s="7" t="s">
        <v>2099</v>
      </c>
      <c r="E984" s="2" t="s">
        <v>2095</v>
      </c>
      <c r="F984" s="99" t="s">
        <v>14</v>
      </c>
      <c r="G984" s="121">
        <v>200</v>
      </c>
      <c r="H984" s="122">
        <f t="shared" si="33"/>
        <v>300</v>
      </c>
      <c r="I984" s="520">
        <f t="shared" si="35"/>
        <v>0</v>
      </c>
      <c r="J984" s="514">
        <f t="shared" si="34"/>
        <v>300</v>
      </c>
      <c r="K984" s="262"/>
      <c r="L984" s="263"/>
    </row>
    <row r="985" spans="1:12" ht="20.25" customHeight="1" thickBot="1" x14ac:dyDescent="0.25">
      <c r="A985" s="117">
        <v>980</v>
      </c>
      <c r="B985" s="3" t="s">
        <v>2100</v>
      </c>
      <c r="C985" s="8" t="s">
        <v>5712</v>
      </c>
      <c r="D985" s="9" t="s">
        <v>2101</v>
      </c>
      <c r="E985" s="4" t="s">
        <v>2095</v>
      </c>
      <c r="F985" s="101" t="s">
        <v>17</v>
      </c>
      <c r="G985" s="128">
        <v>50</v>
      </c>
      <c r="H985" s="157">
        <f t="shared" si="33"/>
        <v>450</v>
      </c>
      <c r="I985" s="522">
        <f t="shared" si="35"/>
        <v>0</v>
      </c>
      <c r="J985" s="519">
        <f t="shared" si="34"/>
        <v>450</v>
      </c>
      <c r="K985" s="268"/>
      <c r="L985" s="276"/>
    </row>
    <row r="986" spans="1:12" ht="20.25" customHeight="1" x14ac:dyDescent="0.2">
      <c r="A986" s="108">
        <v>981</v>
      </c>
      <c r="B986" s="171" t="s">
        <v>2102</v>
      </c>
      <c r="C986" s="110" t="s">
        <v>5434</v>
      </c>
      <c r="D986" s="111" t="s">
        <v>2103</v>
      </c>
      <c r="E986" s="112" t="s">
        <v>2104</v>
      </c>
      <c r="F986" s="113" t="s">
        <v>8</v>
      </c>
      <c r="G986" s="119">
        <v>50</v>
      </c>
      <c r="H986" s="120">
        <f t="shared" si="33"/>
        <v>450</v>
      </c>
      <c r="I986" s="511">
        <f t="shared" si="35"/>
        <v>0</v>
      </c>
      <c r="J986" s="512">
        <f t="shared" si="34"/>
        <v>450</v>
      </c>
      <c r="K986" s="260"/>
      <c r="L986" s="261"/>
    </row>
    <row r="987" spans="1:12" ht="20.25" customHeight="1" x14ac:dyDescent="0.2">
      <c r="A987" s="114">
        <v>982</v>
      </c>
      <c r="B987" s="1" t="s">
        <v>2105</v>
      </c>
      <c r="C987" s="6" t="s">
        <v>5713</v>
      </c>
      <c r="D987" s="7" t="s">
        <v>2106</v>
      </c>
      <c r="E987" s="2" t="s">
        <v>2104</v>
      </c>
      <c r="F987" s="99" t="s">
        <v>11</v>
      </c>
      <c r="G987" s="121">
        <v>50</v>
      </c>
      <c r="H987" s="122">
        <f t="shared" si="33"/>
        <v>450</v>
      </c>
      <c r="I987" s="520">
        <f t="shared" si="35"/>
        <v>0</v>
      </c>
      <c r="J987" s="514">
        <f t="shared" si="34"/>
        <v>450</v>
      </c>
      <c r="K987" s="262"/>
      <c r="L987" s="263"/>
    </row>
    <row r="988" spans="1:12" ht="20.25" customHeight="1" x14ac:dyDescent="0.2">
      <c r="A988" s="114">
        <v>983</v>
      </c>
      <c r="B988" s="1" t="s">
        <v>2107</v>
      </c>
      <c r="C988" s="6" t="s">
        <v>5477</v>
      </c>
      <c r="D988" s="7" t="s">
        <v>2108</v>
      </c>
      <c r="E988" s="2" t="s">
        <v>2104</v>
      </c>
      <c r="F988" s="99" t="s">
        <v>14</v>
      </c>
      <c r="G988" s="121">
        <v>50</v>
      </c>
      <c r="H988" s="122">
        <f t="shared" si="33"/>
        <v>450</v>
      </c>
      <c r="I988" s="520">
        <f t="shared" si="35"/>
        <v>0</v>
      </c>
      <c r="J988" s="514">
        <f t="shared" si="34"/>
        <v>450</v>
      </c>
      <c r="K988" s="262"/>
      <c r="L988" s="263"/>
    </row>
    <row r="989" spans="1:12" ht="20.25" customHeight="1" thickBot="1" x14ac:dyDescent="0.25">
      <c r="A989" s="158">
        <v>984</v>
      </c>
      <c r="B989" s="159" t="s">
        <v>2109</v>
      </c>
      <c r="C989" s="160" t="s">
        <v>5714</v>
      </c>
      <c r="D989" s="161" t="s">
        <v>2110</v>
      </c>
      <c r="E989" s="162" t="s">
        <v>2104</v>
      </c>
      <c r="F989" s="163" t="s">
        <v>17</v>
      </c>
      <c r="G989" s="164">
        <v>50</v>
      </c>
      <c r="H989" s="153">
        <f t="shared" si="33"/>
        <v>450</v>
      </c>
      <c r="I989" s="521">
        <f t="shared" si="35"/>
        <v>0</v>
      </c>
      <c r="J989" s="516">
        <f t="shared" si="34"/>
        <v>450</v>
      </c>
      <c r="K989" s="277"/>
      <c r="L989" s="278"/>
    </row>
    <row r="990" spans="1:12" ht="20.25" customHeight="1" x14ac:dyDescent="0.2">
      <c r="A990" s="115">
        <v>985</v>
      </c>
      <c r="B990" s="64" t="s">
        <v>2111</v>
      </c>
      <c r="C990" s="65" t="s">
        <v>5715</v>
      </c>
      <c r="D990" s="66" t="s">
        <v>2112</v>
      </c>
      <c r="E990" s="67" t="s">
        <v>2113</v>
      </c>
      <c r="F990" s="98" t="s">
        <v>8</v>
      </c>
      <c r="G990" s="123">
        <v>100</v>
      </c>
      <c r="H990" s="124">
        <f t="shared" si="33"/>
        <v>400</v>
      </c>
      <c r="I990" s="513">
        <f t="shared" si="35"/>
        <v>0</v>
      </c>
      <c r="J990" s="517">
        <f t="shared" si="34"/>
        <v>400</v>
      </c>
      <c r="K990" s="264"/>
      <c r="L990" s="265"/>
    </row>
    <row r="991" spans="1:12" ht="20.25" customHeight="1" x14ac:dyDescent="0.2">
      <c r="A991" s="114">
        <v>986</v>
      </c>
      <c r="B991" s="1" t="s">
        <v>2114</v>
      </c>
      <c r="C991" s="6" t="s">
        <v>5179</v>
      </c>
      <c r="D991" s="7" t="s">
        <v>2115</v>
      </c>
      <c r="E991" s="2" t="s">
        <v>2113</v>
      </c>
      <c r="F991" s="99" t="s">
        <v>11</v>
      </c>
      <c r="G991" s="121">
        <v>100</v>
      </c>
      <c r="H991" s="122">
        <f t="shared" si="33"/>
        <v>400</v>
      </c>
      <c r="I991" s="520">
        <f t="shared" si="35"/>
        <v>0</v>
      </c>
      <c r="J991" s="514">
        <f t="shared" si="34"/>
        <v>400</v>
      </c>
      <c r="K991" s="262"/>
      <c r="L991" s="263"/>
    </row>
    <row r="992" spans="1:12" ht="20.25" customHeight="1" x14ac:dyDescent="0.2">
      <c r="A992" s="114">
        <v>987</v>
      </c>
      <c r="B992" s="1" t="s">
        <v>2116</v>
      </c>
      <c r="C992" s="6" t="s">
        <v>5647</v>
      </c>
      <c r="D992" s="7" t="s">
        <v>2117</v>
      </c>
      <c r="E992" s="2" t="s">
        <v>2113</v>
      </c>
      <c r="F992" s="99" t="s">
        <v>14</v>
      </c>
      <c r="G992" s="121">
        <v>150</v>
      </c>
      <c r="H992" s="122">
        <f t="shared" si="33"/>
        <v>350</v>
      </c>
      <c r="I992" s="520">
        <f t="shared" si="35"/>
        <v>0</v>
      </c>
      <c r="J992" s="514">
        <f t="shared" si="34"/>
        <v>350</v>
      </c>
      <c r="K992" s="262"/>
      <c r="L992" s="263"/>
    </row>
    <row r="993" spans="1:37" ht="20.25" customHeight="1" thickBot="1" x14ac:dyDescent="0.25">
      <c r="A993" s="117">
        <v>988</v>
      </c>
      <c r="B993" s="3" t="s">
        <v>2118</v>
      </c>
      <c r="C993" s="8" t="s">
        <v>5259</v>
      </c>
      <c r="D993" s="9" t="s">
        <v>2119</v>
      </c>
      <c r="E993" s="4" t="s">
        <v>2113</v>
      </c>
      <c r="F993" s="101" t="s">
        <v>17</v>
      </c>
      <c r="G993" s="128">
        <v>100</v>
      </c>
      <c r="H993" s="157">
        <f t="shared" si="33"/>
        <v>400</v>
      </c>
      <c r="I993" s="522">
        <f t="shared" si="35"/>
        <v>0</v>
      </c>
      <c r="J993" s="519">
        <f t="shared" si="34"/>
        <v>400</v>
      </c>
      <c r="K993" s="268"/>
      <c r="L993" s="276"/>
    </row>
    <row r="994" spans="1:37" ht="20.25" customHeight="1" x14ac:dyDescent="0.2">
      <c r="A994" s="108">
        <v>989</v>
      </c>
      <c r="B994" s="171" t="s">
        <v>2120</v>
      </c>
      <c r="C994" s="110" t="s">
        <v>5716</v>
      </c>
      <c r="D994" s="111" t="s">
        <v>2121</v>
      </c>
      <c r="E994" s="112" t="s">
        <v>2122</v>
      </c>
      <c r="F994" s="113" t="s">
        <v>8</v>
      </c>
      <c r="G994" s="119">
        <v>50</v>
      </c>
      <c r="H994" s="120">
        <f t="shared" si="33"/>
        <v>450</v>
      </c>
      <c r="I994" s="511">
        <f t="shared" si="35"/>
        <v>0</v>
      </c>
      <c r="J994" s="512">
        <f t="shared" si="34"/>
        <v>450</v>
      </c>
      <c r="K994" s="260"/>
      <c r="L994" s="261"/>
    </row>
    <row r="995" spans="1:37" ht="20.25" customHeight="1" x14ac:dyDescent="0.2">
      <c r="A995" s="114">
        <v>990</v>
      </c>
      <c r="B995" s="1" t="s">
        <v>2123</v>
      </c>
      <c r="C995" s="6" t="s">
        <v>5578</v>
      </c>
      <c r="D995" s="7" t="s">
        <v>2124</v>
      </c>
      <c r="E995" s="2" t="s">
        <v>2122</v>
      </c>
      <c r="F995" s="99" t="s">
        <v>11</v>
      </c>
      <c r="G995" s="121">
        <v>50</v>
      </c>
      <c r="H995" s="122">
        <f t="shared" si="33"/>
        <v>450</v>
      </c>
      <c r="I995" s="520">
        <f t="shared" si="35"/>
        <v>0</v>
      </c>
      <c r="J995" s="514">
        <f t="shared" si="34"/>
        <v>450</v>
      </c>
      <c r="K995" s="262"/>
      <c r="L995" s="263"/>
    </row>
    <row r="996" spans="1:37" ht="20.25" customHeight="1" x14ac:dyDescent="0.2">
      <c r="A996" s="114">
        <v>991</v>
      </c>
      <c r="B996" s="1" t="s">
        <v>2125</v>
      </c>
      <c r="C996" s="6" t="s">
        <v>5717</v>
      </c>
      <c r="D996" s="7" t="s">
        <v>2126</v>
      </c>
      <c r="E996" s="2" t="s">
        <v>2122</v>
      </c>
      <c r="F996" s="99" t="s">
        <v>14</v>
      </c>
      <c r="G996" s="121">
        <v>50</v>
      </c>
      <c r="H996" s="122">
        <f t="shared" si="33"/>
        <v>450</v>
      </c>
      <c r="I996" s="520">
        <f t="shared" si="35"/>
        <v>0</v>
      </c>
      <c r="J996" s="514">
        <f t="shared" si="34"/>
        <v>450</v>
      </c>
      <c r="K996" s="262"/>
      <c r="L996" s="263"/>
    </row>
    <row r="997" spans="1:37" ht="20.25" customHeight="1" thickBot="1" x14ac:dyDescent="0.25">
      <c r="A997" s="158">
        <v>992</v>
      </c>
      <c r="B997" s="159" t="s">
        <v>2127</v>
      </c>
      <c r="C997" s="160" t="s">
        <v>5303</v>
      </c>
      <c r="D997" s="161" t="s">
        <v>2128</v>
      </c>
      <c r="E997" s="162" t="s">
        <v>2122</v>
      </c>
      <c r="F997" s="163" t="s">
        <v>17</v>
      </c>
      <c r="G997" s="164">
        <v>100</v>
      </c>
      <c r="H997" s="153">
        <f t="shared" si="33"/>
        <v>400</v>
      </c>
      <c r="I997" s="521">
        <f t="shared" si="35"/>
        <v>0</v>
      </c>
      <c r="J997" s="516">
        <f t="shared" si="34"/>
        <v>400</v>
      </c>
      <c r="K997" s="277"/>
      <c r="L997" s="278"/>
    </row>
    <row r="998" spans="1:37" ht="20.25" customHeight="1" x14ac:dyDescent="0.2">
      <c r="A998" s="115">
        <v>993</v>
      </c>
      <c r="B998" s="64" t="s">
        <v>2129</v>
      </c>
      <c r="C998" s="65" t="s">
        <v>5718</v>
      </c>
      <c r="D998" s="66" t="s">
        <v>2130</v>
      </c>
      <c r="E998" s="67" t="s">
        <v>2131</v>
      </c>
      <c r="F998" s="98" t="s">
        <v>8</v>
      </c>
      <c r="G998" s="123">
        <v>150</v>
      </c>
      <c r="H998" s="124">
        <f t="shared" si="33"/>
        <v>350</v>
      </c>
      <c r="I998" s="513">
        <f>+(0+445)/4</f>
        <v>111.25</v>
      </c>
      <c r="J998" s="517">
        <f t="shared" si="34"/>
        <v>461.25</v>
      </c>
      <c r="K998" s="264"/>
      <c r="L998" s="265"/>
    </row>
    <row r="999" spans="1:37" ht="20.25" customHeight="1" x14ac:dyDescent="0.2">
      <c r="A999" s="114">
        <v>994</v>
      </c>
      <c r="B999" s="1" t="s">
        <v>2132</v>
      </c>
      <c r="C999" s="6" t="s">
        <v>5719</v>
      </c>
      <c r="D999" s="7" t="s">
        <v>2133</v>
      </c>
      <c r="E999" s="2" t="s">
        <v>2131</v>
      </c>
      <c r="F999" s="99" t="s">
        <v>11</v>
      </c>
      <c r="G999" s="121">
        <v>50</v>
      </c>
      <c r="H999" s="122">
        <f t="shared" si="33"/>
        <v>450</v>
      </c>
      <c r="I999" s="520">
        <f>+(0+445)/4</f>
        <v>111.25</v>
      </c>
      <c r="J999" s="514">
        <f t="shared" si="34"/>
        <v>561.25</v>
      </c>
      <c r="K999" s="262"/>
      <c r="L999" s="263"/>
    </row>
    <row r="1000" spans="1:37" ht="20.25" customHeight="1" x14ac:dyDescent="0.2">
      <c r="A1000" s="114">
        <v>995</v>
      </c>
      <c r="B1000" s="1" t="s">
        <v>2134</v>
      </c>
      <c r="C1000" s="6" t="s">
        <v>5031</v>
      </c>
      <c r="D1000" s="7" t="s">
        <v>2135</v>
      </c>
      <c r="E1000" s="2" t="s">
        <v>2131</v>
      </c>
      <c r="F1000" s="99" t="s">
        <v>14</v>
      </c>
      <c r="G1000" s="121">
        <v>100</v>
      </c>
      <c r="H1000" s="122">
        <f t="shared" si="33"/>
        <v>400</v>
      </c>
      <c r="I1000" s="520">
        <f>+(0+445)/4</f>
        <v>111.25</v>
      </c>
      <c r="J1000" s="514">
        <f t="shared" si="34"/>
        <v>511.25</v>
      </c>
      <c r="K1000" s="262"/>
      <c r="L1000" s="263"/>
    </row>
    <row r="1001" spans="1:37" ht="20.25" customHeight="1" thickBot="1" x14ac:dyDescent="0.25">
      <c r="A1001" s="158">
        <v>996</v>
      </c>
      <c r="B1001" s="159" t="s">
        <v>2136</v>
      </c>
      <c r="C1001" s="160" t="s">
        <v>5539</v>
      </c>
      <c r="D1001" s="161" t="s">
        <v>2137</v>
      </c>
      <c r="E1001" s="162" t="s">
        <v>2131</v>
      </c>
      <c r="F1001" s="163" t="s">
        <v>17</v>
      </c>
      <c r="G1001" s="164">
        <v>50</v>
      </c>
      <c r="H1001" s="153">
        <f t="shared" si="33"/>
        <v>450</v>
      </c>
      <c r="I1001" s="521">
        <f>+(0+445)/4</f>
        <v>111.25</v>
      </c>
      <c r="J1001" s="516">
        <f t="shared" si="34"/>
        <v>561.25</v>
      </c>
      <c r="K1001" s="277"/>
      <c r="L1001" s="278"/>
    </row>
    <row r="1002" spans="1:37" s="70" customFormat="1" ht="27" customHeight="1" x14ac:dyDescent="0.2">
      <c r="A1002" s="69"/>
      <c r="B1002" s="69"/>
      <c r="C1002" s="69"/>
      <c r="D1002" s="69"/>
      <c r="E1002" s="69"/>
      <c r="F1002" s="69"/>
      <c r="G1002" s="140"/>
      <c r="H1002" s="140"/>
      <c r="I1002" s="550"/>
      <c r="J1002" s="550"/>
      <c r="K1002" s="33"/>
      <c r="L1002" s="145"/>
    </row>
    <row r="1003" spans="1:37" s="70" customFormat="1" ht="27" customHeight="1" x14ac:dyDescent="0.2">
      <c r="A1003" s="69"/>
      <c r="B1003" s="69"/>
      <c r="C1003" s="69"/>
      <c r="D1003" s="69"/>
      <c r="E1003" s="69"/>
      <c r="F1003" s="69"/>
      <c r="G1003" s="140"/>
      <c r="H1003" s="140"/>
      <c r="I1003" s="550"/>
      <c r="J1003" s="550"/>
      <c r="K1003" s="33"/>
      <c r="L1003" s="145"/>
    </row>
    <row r="1004" spans="1:37" s="70" customFormat="1" ht="27" customHeight="1" x14ac:dyDescent="0.2">
      <c r="A1004" s="69"/>
      <c r="B1004" s="69"/>
      <c r="C1004" s="69"/>
      <c r="D1004" s="69"/>
      <c r="E1004" s="69"/>
      <c r="F1004" s="69"/>
      <c r="G1004" s="140"/>
      <c r="H1004" s="140"/>
      <c r="I1004" s="550"/>
      <c r="J1004" s="550"/>
      <c r="K1004" s="33"/>
      <c r="L1004" s="145"/>
    </row>
    <row r="1005" spans="1:37" s="70" customFormat="1" ht="27" customHeight="1" x14ac:dyDescent="0.2">
      <c r="A1005" s="69"/>
      <c r="B1005" s="69"/>
      <c r="C1005" s="69"/>
      <c r="D1005" s="69"/>
      <c r="E1005" s="69"/>
      <c r="F1005" s="69"/>
      <c r="G1005" s="140"/>
      <c r="H1005" s="140"/>
      <c r="I1005" s="550"/>
      <c r="J1005" s="550"/>
      <c r="K1005" s="33"/>
      <c r="L1005" s="145"/>
    </row>
    <row r="1006" spans="1:37" s="15" customFormat="1" ht="22.5" customHeight="1" x14ac:dyDescent="0.2">
      <c r="E1006" s="27"/>
      <c r="F1006" s="27"/>
      <c r="G1006" s="141"/>
      <c r="H1006" s="141"/>
      <c r="I1006" s="551"/>
      <c r="J1006" s="551"/>
      <c r="K1006" s="33"/>
      <c r="L1006" s="145"/>
    </row>
    <row r="1007" spans="1:37" s="281" customFormat="1" ht="18" customHeight="1" x14ac:dyDescent="0.2">
      <c r="A1007" s="45"/>
      <c r="B1007" s="15"/>
      <c r="C1007" s="15"/>
      <c r="D1007" s="15"/>
      <c r="E1007" s="27"/>
      <c r="F1007" s="27"/>
      <c r="G1007" s="141"/>
      <c r="H1007" s="141"/>
      <c r="I1007" s="551"/>
      <c r="J1007" s="551"/>
      <c r="K1007" s="33"/>
      <c r="L1007" s="142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280"/>
    </row>
    <row r="1008" spans="1:37" s="14" customFormat="1" ht="18" customHeight="1" x14ac:dyDescent="0.2">
      <c r="A1008" s="15"/>
      <c r="B1008" s="45"/>
      <c r="C1008" s="15"/>
      <c r="D1008" s="27"/>
      <c r="E1008" s="27"/>
      <c r="F1008" s="15"/>
      <c r="G1008" s="141"/>
      <c r="H1008" s="141"/>
      <c r="I1008" s="551"/>
      <c r="J1008" s="551"/>
      <c r="K1008" s="15"/>
      <c r="L1008" s="142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54"/>
    </row>
    <row r="1009" spans="1:37" s="14" customFormat="1" ht="16.5" customHeight="1" x14ac:dyDescent="0.2">
      <c r="A1009" s="15"/>
      <c r="B1009" s="15"/>
      <c r="C1009" s="15"/>
      <c r="D1009" s="27"/>
      <c r="E1009" s="27"/>
      <c r="F1009" s="15"/>
      <c r="G1009" s="141"/>
      <c r="H1009" s="141"/>
      <c r="I1009" s="551"/>
      <c r="J1009" s="551"/>
      <c r="K1009" s="33"/>
      <c r="L1009" s="142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54"/>
    </row>
    <row r="1010" spans="1:37" s="14" customFormat="1" ht="16.5" customHeight="1" x14ac:dyDescent="0.2">
      <c r="A1010" s="15"/>
      <c r="B1010" s="15"/>
      <c r="C1010" s="15"/>
      <c r="D1010" s="27"/>
      <c r="E1010" s="27"/>
      <c r="F1010" s="15"/>
      <c r="G1010" s="141"/>
      <c r="H1010" s="141"/>
      <c r="I1010" s="551"/>
      <c r="J1010" s="551"/>
      <c r="K1010" s="33"/>
      <c r="L1010" s="142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54"/>
    </row>
    <row r="1011" spans="1:37" s="14" customFormat="1" ht="18.75" customHeight="1" x14ac:dyDescent="0.2">
      <c r="A1011" s="15"/>
      <c r="B1011" s="15"/>
      <c r="C1011" s="15"/>
      <c r="D1011" s="15"/>
      <c r="E1011" s="27"/>
      <c r="F1011" s="27"/>
      <c r="G1011" s="141"/>
      <c r="H1011" s="141"/>
      <c r="I1011" s="551"/>
      <c r="J1011" s="551"/>
      <c r="K1011" s="33"/>
      <c r="L1011" s="142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54"/>
    </row>
    <row r="1012" spans="1:37" s="14" customFormat="1" ht="27" customHeight="1" x14ac:dyDescent="0.2">
      <c r="A1012" s="15"/>
      <c r="B1012" s="15"/>
      <c r="C1012" s="15"/>
      <c r="D1012" s="15"/>
      <c r="E1012" s="27"/>
      <c r="F1012" s="27"/>
      <c r="G1012" s="141"/>
      <c r="H1012" s="141"/>
      <c r="I1012" s="551"/>
      <c r="J1012" s="551"/>
      <c r="K1012" s="33"/>
      <c r="L1012" s="142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54"/>
    </row>
    <row r="1013" spans="1:37" s="14" customFormat="1" ht="12.75" customHeight="1" x14ac:dyDescent="0.2">
      <c r="A1013" s="15"/>
      <c r="B1013" s="15"/>
      <c r="C1013" s="15"/>
      <c r="D1013" s="15"/>
      <c r="E1013" s="27"/>
      <c r="F1013" s="27"/>
      <c r="G1013" s="141"/>
      <c r="H1013" s="141"/>
      <c r="I1013" s="551"/>
      <c r="J1013" s="551"/>
      <c r="K1013" s="33"/>
      <c r="L1013" s="142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54"/>
    </row>
    <row r="1014" spans="1:37" s="14" customFormat="1" ht="12.75" customHeight="1" x14ac:dyDescent="0.2">
      <c r="A1014" s="15"/>
      <c r="B1014" s="15"/>
      <c r="C1014" s="15"/>
      <c r="D1014" s="15"/>
      <c r="E1014" s="27"/>
      <c r="F1014" s="27"/>
      <c r="G1014" s="141"/>
      <c r="H1014" s="141"/>
      <c r="I1014" s="551"/>
      <c r="J1014" s="551"/>
      <c r="K1014" s="33"/>
      <c r="L1014" s="14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54"/>
    </row>
    <row r="1015" spans="1:37" s="14" customFormat="1" ht="12.75" customHeight="1" x14ac:dyDescent="0.2">
      <c r="A1015" s="15"/>
      <c r="B1015" s="15"/>
      <c r="C1015" s="15"/>
      <c r="D1015" s="15"/>
      <c r="E1015" s="27"/>
      <c r="F1015" s="27"/>
      <c r="G1015" s="141"/>
      <c r="H1015" s="141"/>
      <c r="I1015" s="551"/>
      <c r="J1015" s="551"/>
      <c r="K1015" s="33"/>
      <c r="L1015" s="14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54"/>
    </row>
    <row r="1016" spans="1:37" s="15" customFormat="1" ht="12.75" customHeight="1" x14ac:dyDescent="0.2">
      <c r="E1016" s="27"/>
      <c r="F1016" s="27"/>
      <c r="G1016" s="141"/>
      <c r="H1016" s="141"/>
      <c r="I1016" s="551"/>
      <c r="J1016" s="551"/>
      <c r="K1016" s="33"/>
      <c r="L1016" s="145"/>
    </row>
    <row r="1017" spans="1:37" s="15" customFormat="1" ht="12.75" customHeight="1" x14ac:dyDescent="0.2">
      <c r="E1017" s="27"/>
      <c r="F1017" s="27"/>
      <c r="G1017" s="141"/>
      <c r="H1017" s="141"/>
      <c r="I1017" s="551"/>
      <c r="J1017" s="551"/>
      <c r="K1017" s="33"/>
      <c r="L1017" s="145"/>
    </row>
    <row r="1018" spans="1:37" s="15" customFormat="1" ht="12.75" customHeight="1" x14ac:dyDescent="0.2">
      <c r="E1018" s="27"/>
      <c r="F1018" s="27"/>
      <c r="G1018" s="141"/>
      <c r="H1018" s="141"/>
      <c r="I1018" s="551"/>
      <c r="J1018" s="551"/>
      <c r="K1018" s="33"/>
      <c r="L1018" s="145"/>
    </row>
    <row r="1019" spans="1:37" s="15" customFormat="1" ht="12.75" customHeight="1" x14ac:dyDescent="0.2">
      <c r="E1019" s="27"/>
      <c r="F1019" s="27"/>
      <c r="G1019" s="141"/>
      <c r="H1019" s="141"/>
      <c r="I1019" s="551"/>
      <c r="J1019" s="551"/>
      <c r="K1019" s="33"/>
      <c r="L1019" s="145"/>
    </row>
    <row r="1020" spans="1:37" s="15" customFormat="1" ht="12.75" customHeight="1" x14ac:dyDescent="0.2">
      <c r="E1020" s="27"/>
      <c r="F1020" s="27"/>
      <c r="G1020" s="141"/>
      <c r="H1020" s="141"/>
      <c r="I1020" s="551"/>
      <c r="J1020" s="551"/>
      <c r="K1020" s="33"/>
      <c r="L1020" s="145"/>
    </row>
    <row r="1021" spans="1:37" s="15" customFormat="1" ht="12.75" customHeight="1" x14ac:dyDescent="0.2">
      <c r="E1021" s="27"/>
      <c r="F1021" s="27"/>
      <c r="G1021" s="141"/>
      <c r="H1021" s="141"/>
      <c r="I1021" s="551"/>
      <c r="J1021" s="551"/>
      <c r="K1021" s="33"/>
      <c r="L1021" s="145"/>
    </row>
    <row r="1022" spans="1:37" s="15" customFormat="1" ht="12.75" customHeight="1" x14ac:dyDescent="0.2">
      <c r="E1022" s="27"/>
      <c r="F1022" s="27"/>
      <c r="G1022" s="141"/>
      <c r="H1022" s="141"/>
      <c r="I1022" s="551"/>
      <c r="J1022" s="551"/>
      <c r="K1022" s="33"/>
      <c r="L1022" s="145"/>
    </row>
    <row r="1023" spans="1:37" s="15" customFormat="1" ht="12.75" customHeight="1" x14ac:dyDescent="0.2">
      <c r="E1023" s="27"/>
      <c r="F1023" s="27"/>
      <c r="G1023" s="141"/>
      <c r="H1023" s="141"/>
      <c r="I1023" s="551"/>
      <c r="J1023" s="551"/>
      <c r="K1023" s="33"/>
      <c r="L1023" s="145"/>
    </row>
    <row r="1024" spans="1:37" s="15" customFormat="1" ht="12.75" customHeight="1" x14ac:dyDescent="0.2">
      <c r="E1024" s="27"/>
      <c r="F1024" s="27"/>
      <c r="G1024" s="141"/>
      <c r="H1024" s="141"/>
      <c r="I1024" s="551"/>
      <c r="J1024" s="551"/>
      <c r="K1024" s="33"/>
      <c r="L1024" s="145"/>
    </row>
    <row r="1025" spans="5:12" s="15" customFormat="1" ht="12.75" customHeight="1" x14ac:dyDescent="0.2">
      <c r="E1025" s="27"/>
      <c r="F1025" s="27"/>
      <c r="G1025" s="141"/>
      <c r="H1025" s="141"/>
      <c r="I1025" s="551"/>
      <c r="J1025" s="551"/>
      <c r="K1025" s="33"/>
      <c r="L1025" s="145"/>
    </row>
    <row r="1026" spans="5:12" s="15" customFormat="1" ht="12.75" customHeight="1" x14ac:dyDescent="0.2">
      <c r="E1026" s="27"/>
      <c r="F1026" s="27"/>
      <c r="G1026" s="141"/>
      <c r="H1026" s="141"/>
      <c r="I1026" s="551"/>
      <c r="J1026" s="551"/>
      <c r="K1026" s="33"/>
      <c r="L1026" s="145"/>
    </row>
    <row r="1027" spans="5:12" s="15" customFormat="1" ht="12.75" customHeight="1" x14ac:dyDescent="0.2">
      <c r="E1027" s="27"/>
      <c r="F1027" s="27"/>
      <c r="G1027" s="141"/>
      <c r="H1027" s="141"/>
      <c r="I1027" s="551"/>
      <c r="J1027" s="551"/>
      <c r="K1027" s="33"/>
      <c r="L1027" s="145"/>
    </row>
    <row r="1028" spans="5:12" s="15" customFormat="1" ht="12.75" customHeight="1" x14ac:dyDescent="0.2">
      <c r="E1028" s="27"/>
      <c r="F1028" s="27"/>
      <c r="G1028" s="141"/>
      <c r="H1028" s="141"/>
      <c r="I1028" s="551"/>
      <c r="J1028" s="551"/>
      <c r="K1028" s="33"/>
      <c r="L1028" s="145"/>
    </row>
    <row r="1029" spans="5:12" s="15" customFormat="1" ht="12.75" customHeight="1" x14ac:dyDescent="0.2">
      <c r="E1029" s="27"/>
      <c r="F1029" s="27"/>
      <c r="G1029" s="141"/>
      <c r="H1029" s="141"/>
      <c r="I1029" s="551"/>
      <c r="J1029" s="551"/>
      <c r="K1029" s="33"/>
      <c r="L1029" s="145"/>
    </row>
    <row r="1030" spans="5:12" s="15" customFormat="1" ht="12.75" customHeight="1" x14ac:dyDescent="0.2">
      <c r="E1030" s="27"/>
      <c r="F1030" s="27"/>
      <c r="G1030" s="141"/>
      <c r="H1030" s="141"/>
      <c r="I1030" s="551"/>
      <c r="J1030" s="551"/>
      <c r="K1030" s="33"/>
      <c r="L1030" s="145"/>
    </row>
    <row r="1031" spans="5:12" s="15" customFormat="1" ht="12.75" customHeight="1" x14ac:dyDescent="0.2">
      <c r="E1031" s="27"/>
      <c r="F1031" s="27"/>
      <c r="G1031" s="141"/>
      <c r="H1031" s="141"/>
      <c r="I1031" s="551"/>
      <c r="J1031" s="551"/>
      <c r="K1031" s="33"/>
      <c r="L1031" s="145"/>
    </row>
    <row r="1032" spans="5:12" s="15" customFormat="1" ht="12.75" customHeight="1" x14ac:dyDescent="0.2">
      <c r="E1032" s="27"/>
      <c r="F1032" s="27"/>
      <c r="G1032" s="141"/>
      <c r="H1032" s="141"/>
      <c r="I1032" s="551"/>
      <c r="J1032" s="551"/>
      <c r="K1032" s="33"/>
      <c r="L1032" s="145"/>
    </row>
    <row r="1033" spans="5:12" s="15" customFormat="1" ht="12.75" customHeight="1" x14ac:dyDescent="0.2">
      <c r="E1033" s="27"/>
      <c r="F1033" s="27"/>
      <c r="G1033" s="141"/>
      <c r="H1033" s="141"/>
      <c r="I1033" s="551"/>
      <c r="J1033" s="551"/>
      <c r="K1033" s="33"/>
      <c r="L1033" s="145"/>
    </row>
    <row r="1034" spans="5:12" s="15" customFormat="1" ht="12.75" customHeight="1" x14ac:dyDescent="0.2">
      <c r="E1034" s="27"/>
      <c r="F1034" s="27"/>
      <c r="G1034" s="141"/>
      <c r="H1034" s="141"/>
      <c r="I1034" s="551"/>
      <c r="J1034" s="551"/>
      <c r="K1034" s="33"/>
      <c r="L1034" s="145"/>
    </row>
    <row r="1035" spans="5:12" s="15" customFormat="1" ht="12.75" customHeight="1" x14ac:dyDescent="0.2">
      <c r="E1035" s="27"/>
      <c r="F1035" s="27"/>
      <c r="G1035" s="141"/>
      <c r="H1035" s="141"/>
      <c r="I1035" s="551"/>
      <c r="J1035" s="551"/>
      <c r="K1035" s="33"/>
      <c r="L1035" s="145"/>
    </row>
    <row r="1036" spans="5:12" s="15" customFormat="1" ht="12.75" customHeight="1" x14ac:dyDescent="0.2">
      <c r="E1036" s="27"/>
      <c r="F1036" s="27"/>
      <c r="G1036" s="141"/>
      <c r="H1036" s="141"/>
      <c r="I1036" s="551"/>
      <c r="J1036" s="551"/>
      <c r="K1036" s="33"/>
      <c r="L1036" s="145"/>
    </row>
    <row r="1037" spans="5:12" s="15" customFormat="1" ht="12.75" customHeight="1" x14ac:dyDescent="0.2">
      <c r="E1037" s="27"/>
      <c r="F1037" s="27"/>
      <c r="G1037" s="141"/>
      <c r="H1037" s="141"/>
      <c r="I1037" s="551"/>
      <c r="J1037" s="556"/>
      <c r="K1037" s="33"/>
      <c r="L1037" s="145"/>
    </row>
    <row r="1038" spans="5:12" s="15" customFormat="1" ht="12.75" customHeight="1" x14ac:dyDescent="0.2">
      <c r="E1038" s="27"/>
      <c r="F1038" s="27"/>
      <c r="G1038" s="141"/>
      <c r="H1038" s="141"/>
      <c r="I1038" s="551"/>
      <c r="J1038" s="552"/>
      <c r="K1038" s="33"/>
      <c r="L1038" s="145"/>
    </row>
    <row r="1039" spans="5:12" s="15" customFormat="1" ht="12.75" customHeight="1" x14ac:dyDescent="0.2">
      <c r="E1039" s="27"/>
      <c r="F1039" s="27"/>
      <c r="G1039" s="141"/>
      <c r="H1039" s="141"/>
      <c r="I1039" s="551"/>
      <c r="J1039" s="552"/>
      <c r="K1039" s="33"/>
      <c r="L1039" s="145"/>
    </row>
    <row r="1040" spans="5:12" s="15" customFormat="1" ht="12.75" customHeight="1" x14ac:dyDescent="0.2">
      <c r="E1040" s="27"/>
      <c r="F1040" s="27"/>
      <c r="G1040" s="141"/>
      <c r="H1040" s="141"/>
      <c r="I1040" s="551"/>
      <c r="J1040" s="552"/>
      <c r="K1040" s="33"/>
      <c r="L1040" s="145"/>
    </row>
    <row r="1041" spans="5:12" s="15" customFormat="1" ht="12.75" customHeight="1" x14ac:dyDescent="0.2">
      <c r="E1041" s="27"/>
      <c r="F1041" s="27"/>
      <c r="G1041" s="141"/>
      <c r="H1041" s="141"/>
      <c r="I1041" s="551"/>
      <c r="J1041" s="552"/>
      <c r="K1041" s="33"/>
      <c r="L1041" s="145"/>
    </row>
    <row r="1042" spans="5:12" s="15" customFormat="1" ht="12.75" customHeight="1" x14ac:dyDescent="0.2">
      <c r="E1042" s="27"/>
      <c r="F1042" s="27"/>
      <c r="G1042" s="141"/>
      <c r="H1042" s="141"/>
      <c r="I1042" s="551"/>
      <c r="J1042" s="552"/>
      <c r="K1042" s="33"/>
      <c r="L1042" s="145"/>
    </row>
    <row r="1043" spans="5:12" s="15" customFormat="1" ht="12.75" customHeight="1" x14ac:dyDescent="0.2">
      <c r="E1043" s="27"/>
      <c r="F1043" s="27"/>
      <c r="G1043" s="141"/>
      <c r="H1043" s="141"/>
      <c r="I1043" s="551"/>
      <c r="J1043" s="552"/>
      <c r="K1043" s="33"/>
      <c r="L1043" s="145"/>
    </row>
    <row r="1044" spans="5:12" s="15" customFormat="1" ht="12.75" customHeight="1" x14ac:dyDescent="0.2">
      <c r="E1044" s="27"/>
      <c r="F1044" s="27"/>
      <c r="G1044" s="141"/>
      <c r="H1044" s="141"/>
      <c r="I1044" s="551"/>
      <c r="J1044" s="552"/>
      <c r="K1044" s="33"/>
      <c r="L1044" s="145"/>
    </row>
    <row r="1045" spans="5:12" s="15" customFormat="1" ht="12.75" customHeight="1" x14ac:dyDescent="0.2">
      <c r="E1045" s="27"/>
      <c r="F1045" s="27"/>
      <c r="G1045" s="141"/>
      <c r="H1045" s="141"/>
      <c r="I1045" s="551"/>
      <c r="J1045" s="552"/>
      <c r="K1045" s="33"/>
      <c r="L1045" s="145"/>
    </row>
    <row r="1046" spans="5:12" s="15" customFormat="1" ht="12.75" customHeight="1" x14ac:dyDescent="0.2">
      <c r="E1046" s="27"/>
      <c r="F1046" s="27"/>
      <c r="G1046" s="141"/>
      <c r="H1046" s="141"/>
      <c r="I1046" s="551"/>
      <c r="J1046" s="552"/>
      <c r="K1046" s="33"/>
      <c r="L1046" s="145"/>
    </row>
    <row r="1047" spans="5:12" s="15" customFormat="1" ht="12.75" customHeight="1" x14ac:dyDescent="0.2">
      <c r="E1047" s="27"/>
      <c r="F1047" s="27"/>
      <c r="G1047" s="141"/>
      <c r="H1047" s="141"/>
      <c r="I1047" s="551"/>
      <c r="J1047" s="552"/>
      <c r="K1047" s="33"/>
      <c r="L1047" s="145"/>
    </row>
    <row r="1048" spans="5:12" s="15" customFormat="1" ht="12.75" customHeight="1" x14ac:dyDescent="0.2">
      <c r="E1048" s="27"/>
      <c r="F1048" s="27"/>
      <c r="G1048" s="141"/>
      <c r="H1048" s="141"/>
      <c r="I1048" s="551"/>
      <c r="J1048" s="552"/>
      <c r="K1048" s="33"/>
      <c r="L1048" s="145"/>
    </row>
    <row r="1049" spans="5:12" s="15" customFormat="1" ht="12.75" customHeight="1" x14ac:dyDescent="0.2">
      <c r="E1049" s="27"/>
      <c r="F1049" s="27"/>
      <c r="G1049" s="141"/>
      <c r="H1049" s="141"/>
      <c r="I1049" s="551"/>
      <c r="J1049" s="552"/>
      <c r="K1049" s="33"/>
      <c r="L1049" s="145"/>
    </row>
    <row r="1050" spans="5:12" s="15" customFormat="1" ht="12.75" customHeight="1" x14ac:dyDescent="0.2">
      <c r="E1050" s="27"/>
      <c r="F1050" s="27"/>
      <c r="G1050" s="141"/>
      <c r="H1050" s="141"/>
      <c r="I1050" s="551"/>
      <c r="J1050" s="552"/>
      <c r="K1050" s="33"/>
      <c r="L1050" s="145"/>
    </row>
    <row r="1051" spans="5:12" s="15" customFormat="1" ht="12.75" customHeight="1" x14ac:dyDescent="0.2">
      <c r="E1051" s="27"/>
      <c r="F1051" s="27"/>
      <c r="G1051" s="141"/>
      <c r="H1051" s="141"/>
      <c r="I1051" s="551"/>
      <c r="J1051" s="552"/>
      <c r="K1051" s="33"/>
      <c r="L1051" s="145"/>
    </row>
    <row r="1052" spans="5:12" s="15" customFormat="1" ht="12.75" customHeight="1" x14ac:dyDescent="0.2">
      <c r="E1052" s="27"/>
      <c r="F1052" s="27"/>
      <c r="G1052" s="141"/>
      <c r="H1052" s="141"/>
      <c r="I1052" s="551"/>
      <c r="J1052" s="552"/>
      <c r="K1052" s="33"/>
      <c r="L1052" s="145"/>
    </row>
    <row r="1053" spans="5:12" s="15" customFormat="1" ht="12.75" customHeight="1" x14ac:dyDescent="0.2">
      <c r="E1053" s="27"/>
      <c r="F1053" s="27"/>
      <c r="G1053" s="141"/>
      <c r="H1053" s="141"/>
      <c r="I1053" s="551"/>
      <c r="J1053" s="552"/>
      <c r="K1053" s="33"/>
      <c r="L1053" s="145"/>
    </row>
    <row r="1054" spans="5:12" s="15" customFormat="1" ht="12.75" customHeight="1" x14ac:dyDescent="0.2">
      <c r="E1054" s="27"/>
      <c r="F1054" s="27"/>
      <c r="G1054" s="141"/>
      <c r="H1054" s="141"/>
      <c r="I1054" s="551"/>
      <c r="J1054" s="552"/>
      <c r="K1054" s="33"/>
      <c r="L1054" s="145"/>
    </row>
    <row r="1055" spans="5:12" s="15" customFormat="1" ht="12.75" customHeight="1" x14ac:dyDescent="0.2">
      <c r="E1055" s="27"/>
      <c r="F1055" s="27"/>
      <c r="G1055" s="141"/>
      <c r="H1055" s="141"/>
      <c r="I1055" s="551"/>
      <c r="J1055" s="552"/>
      <c r="K1055" s="33"/>
      <c r="L1055" s="145"/>
    </row>
    <row r="1056" spans="5:12" s="15" customFormat="1" ht="12.75" customHeight="1" x14ac:dyDescent="0.2">
      <c r="E1056" s="27"/>
      <c r="F1056" s="27"/>
      <c r="G1056" s="141"/>
      <c r="H1056" s="141"/>
      <c r="I1056" s="551"/>
      <c r="J1056" s="552"/>
      <c r="K1056" s="33"/>
      <c r="L1056" s="145"/>
    </row>
    <row r="1057" spans="5:12" s="15" customFormat="1" ht="12.75" customHeight="1" x14ac:dyDescent="0.2">
      <c r="E1057" s="27"/>
      <c r="F1057" s="27"/>
      <c r="G1057" s="141"/>
      <c r="H1057" s="141"/>
      <c r="I1057" s="551"/>
      <c r="J1057" s="552"/>
      <c r="K1057" s="33"/>
      <c r="L1057" s="145"/>
    </row>
    <row r="1058" spans="5:12" s="15" customFormat="1" ht="12.75" customHeight="1" x14ac:dyDescent="0.2">
      <c r="E1058" s="27"/>
      <c r="F1058" s="27"/>
      <c r="G1058" s="141"/>
      <c r="H1058" s="141"/>
      <c r="I1058" s="551"/>
      <c r="J1058" s="552"/>
      <c r="K1058" s="33"/>
      <c r="L1058" s="145"/>
    </row>
    <row r="1059" spans="5:12" s="15" customFormat="1" ht="12.75" customHeight="1" x14ac:dyDescent="0.2">
      <c r="E1059" s="27"/>
      <c r="F1059" s="27"/>
      <c r="G1059" s="141"/>
      <c r="H1059" s="141"/>
      <c r="I1059" s="551"/>
      <c r="J1059" s="552"/>
      <c r="K1059" s="33"/>
      <c r="L1059" s="145"/>
    </row>
    <row r="1060" spans="5:12" s="15" customFormat="1" ht="12.75" customHeight="1" x14ac:dyDescent="0.2">
      <c r="E1060" s="27"/>
      <c r="F1060" s="27"/>
      <c r="G1060" s="141"/>
      <c r="H1060" s="141"/>
      <c r="I1060" s="551"/>
      <c r="J1060" s="552"/>
      <c r="K1060" s="33"/>
      <c r="L1060" s="145"/>
    </row>
    <row r="1061" spans="5:12" s="15" customFormat="1" ht="12.75" customHeight="1" x14ac:dyDescent="0.2">
      <c r="E1061" s="27"/>
      <c r="F1061" s="27"/>
      <c r="G1061" s="141"/>
      <c r="H1061" s="141"/>
      <c r="I1061" s="551"/>
      <c r="J1061" s="552"/>
      <c r="K1061" s="33"/>
      <c r="L1061" s="145"/>
    </row>
    <row r="1062" spans="5:12" s="15" customFormat="1" ht="12.75" customHeight="1" x14ac:dyDescent="0.2">
      <c r="E1062" s="27"/>
      <c r="F1062" s="27"/>
      <c r="G1062" s="141"/>
      <c r="H1062" s="141"/>
      <c r="I1062" s="551"/>
      <c r="J1062" s="552"/>
      <c r="K1062" s="33"/>
      <c r="L1062" s="145"/>
    </row>
    <row r="1063" spans="5:12" s="15" customFormat="1" ht="12.75" customHeight="1" x14ac:dyDescent="0.2">
      <c r="E1063" s="27"/>
      <c r="F1063" s="27"/>
      <c r="G1063" s="141"/>
      <c r="H1063" s="141"/>
      <c r="I1063" s="551"/>
      <c r="J1063" s="552"/>
      <c r="K1063" s="33"/>
      <c r="L1063" s="145"/>
    </row>
    <row r="1064" spans="5:12" s="15" customFormat="1" ht="12.75" customHeight="1" x14ac:dyDescent="0.2">
      <c r="E1064" s="27"/>
      <c r="F1064" s="27"/>
      <c r="G1064" s="141"/>
      <c r="H1064" s="141"/>
      <c r="I1064" s="551"/>
      <c r="J1064" s="552"/>
      <c r="K1064" s="33"/>
      <c r="L1064" s="145"/>
    </row>
    <row r="1065" spans="5:12" s="15" customFormat="1" ht="12.75" customHeight="1" x14ac:dyDescent="0.2">
      <c r="E1065" s="27"/>
      <c r="F1065" s="27"/>
      <c r="G1065" s="141"/>
      <c r="H1065" s="141"/>
      <c r="I1065" s="551"/>
      <c r="J1065" s="552"/>
      <c r="K1065" s="33"/>
      <c r="L1065" s="145"/>
    </row>
    <row r="1066" spans="5:12" s="15" customFormat="1" ht="12.75" customHeight="1" x14ac:dyDescent="0.2">
      <c r="E1066" s="27"/>
      <c r="F1066" s="27"/>
      <c r="G1066" s="141"/>
      <c r="H1066" s="141"/>
      <c r="I1066" s="551"/>
      <c r="J1066" s="552"/>
      <c r="K1066" s="33"/>
      <c r="L1066" s="145"/>
    </row>
    <row r="1067" spans="5:12" s="15" customFormat="1" ht="12.75" customHeight="1" x14ac:dyDescent="0.2">
      <c r="E1067" s="27"/>
      <c r="F1067" s="27"/>
      <c r="G1067" s="141"/>
      <c r="H1067" s="141"/>
      <c r="I1067" s="551"/>
      <c r="J1067" s="552"/>
      <c r="K1067" s="33"/>
      <c r="L1067" s="145"/>
    </row>
    <row r="1068" spans="5:12" s="15" customFormat="1" ht="12.75" customHeight="1" x14ac:dyDescent="0.2">
      <c r="E1068" s="27"/>
      <c r="F1068" s="27"/>
      <c r="G1068" s="141"/>
      <c r="H1068" s="141"/>
      <c r="I1068" s="551"/>
      <c r="J1068" s="552"/>
      <c r="K1068" s="33"/>
      <c r="L1068" s="145"/>
    </row>
    <row r="1069" spans="5:12" s="15" customFormat="1" ht="12.75" customHeight="1" x14ac:dyDescent="0.2">
      <c r="E1069" s="27"/>
      <c r="F1069" s="27"/>
      <c r="G1069" s="141"/>
      <c r="H1069" s="141"/>
      <c r="I1069" s="551"/>
      <c r="J1069" s="552"/>
      <c r="K1069" s="33"/>
      <c r="L1069" s="145"/>
    </row>
    <row r="1070" spans="5:12" s="15" customFormat="1" ht="12.75" customHeight="1" x14ac:dyDescent="0.2">
      <c r="E1070" s="27"/>
      <c r="F1070" s="27"/>
      <c r="G1070" s="141"/>
      <c r="H1070" s="141"/>
      <c r="I1070" s="551"/>
      <c r="J1070" s="552"/>
      <c r="K1070" s="33"/>
      <c r="L1070" s="145"/>
    </row>
    <row r="1071" spans="5:12" s="15" customFormat="1" ht="12.75" customHeight="1" x14ac:dyDescent="0.2">
      <c r="E1071" s="27"/>
      <c r="F1071" s="27"/>
      <c r="G1071" s="141"/>
      <c r="H1071" s="141"/>
      <c r="I1071" s="551"/>
      <c r="J1071" s="552"/>
      <c r="K1071" s="33"/>
      <c r="L1071" s="145"/>
    </row>
    <row r="1072" spans="5:12" s="15" customFormat="1" ht="12.75" customHeight="1" x14ac:dyDescent="0.2">
      <c r="E1072" s="27"/>
      <c r="F1072" s="27"/>
      <c r="G1072" s="141"/>
      <c r="H1072" s="141"/>
      <c r="I1072" s="551"/>
      <c r="J1072" s="552"/>
      <c r="K1072" s="33"/>
      <c r="L1072" s="145"/>
    </row>
    <row r="1073" spans="5:12" s="15" customFormat="1" ht="12.75" customHeight="1" x14ac:dyDescent="0.2">
      <c r="E1073" s="27"/>
      <c r="F1073" s="27"/>
      <c r="G1073" s="141"/>
      <c r="H1073" s="141"/>
      <c r="I1073" s="551"/>
      <c r="J1073" s="552"/>
      <c r="K1073" s="33"/>
      <c r="L1073" s="145"/>
    </row>
    <row r="1074" spans="5:12" s="15" customFormat="1" ht="12.75" customHeight="1" x14ac:dyDescent="0.2">
      <c r="E1074" s="27"/>
      <c r="F1074" s="27"/>
      <c r="G1074" s="141"/>
      <c r="H1074" s="141"/>
      <c r="I1074" s="551"/>
      <c r="J1074" s="552"/>
      <c r="K1074" s="33"/>
      <c r="L1074" s="145"/>
    </row>
    <row r="1075" spans="5:12" s="15" customFormat="1" ht="12.75" customHeight="1" x14ac:dyDescent="0.2">
      <c r="E1075" s="27"/>
      <c r="F1075" s="27"/>
      <c r="G1075" s="141"/>
      <c r="H1075" s="141"/>
      <c r="I1075" s="551"/>
      <c r="J1075" s="552"/>
      <c r="K1075" s="33"/>
      <c r="L1075" s="145"/>
    </row>
    <row r="1076" spans="5:12" s="15" customFormat="1" ht="12.75" customHeight="1" x14ac:dyDescent="0.2">
      <c r="E1076" s="27"/>
      <c r="F1076" s="27"/>
      <c r="G1076" s="141"/>
      <c r="H1076" s="141"/>
      <c r="I1076" s="551"/>
      <c r="J1076" s="552"/>
      <c r="K1076" s="33"/>
      <c r="L1076" s="145"/>
    </row>
    <row r="1077" spans="5:12" s="15" customFormat="1" ht="12.75" customHeight="1" x14ac:dyDescent="0.2">
      <c r="E1077" s="27"/>
      <c r="F1077" s="27"/>
      <c r="G1077" s="141"/>
      <c r="H1077" s="141"/>
      <c r="I1077" s="551"/>
      <c r="J1077" s="552"/>
      <c r="K1077" s="33"/>
      <c r="L1077" s="145"/>
    </row>
    <row r="1078" spans="5:12" s="15" customFormat="1" ht="12.75" customHeight="1" x14ac:dyDescent="0.2">
      <c r="E1078" s="27"/>
      <c r="F1078" s="27"/>
      <c r="G1078" s="141"/>
      <c r="H1078" s="141"/>
      <c r="I1078" s="551"/>
      <c r="J1078" s="552"/>
      <c r="K1078" s="33"/>
      <c r="L1078" s="145"/>
    </row>
    <row r="1079" spans="5:12" s="15" customFormat="1" ht="12.75" customHeight="1" x14ac:dyDescent="0.2">
      <c r="E1079" s="27"/>
      <c r="F1079" s="27"/>
      <c r="G1079" s="141"/>
      <c r="H1079" s="141"/>
      <c r="I1079" s="551"/>
      <c r="J1079" s="552"/>
      <c r="K1079" s="33"/>
      <c r="L1079" s="145"/>
    </row>
    <row r="1080" spans="5:12" s="15" customFormat="1" ht="12.75" customHeight="1" x14ac:dyDescent="0.2">
      <c r="E1080" s="27"/>
      <c r="F1080" s="27"/>
      <c r="G1080" s="141"/>
      <c r="H1080" s="141"/>
      <c r="I1080" s="551"/>
      <c r="J1080" s="552"/>
      <c r="K1080" s="33"/>
      <c r="L1080" s="145"/>
    </row>
    <row r="1081" spans="5:12" s="15" customFormat="1" ht="12.75" customHeight="1" x14ac:dyDescent="0.2">
      <c r="E1081" s="27"/>
      <c r="F1081" s="27"/>
      <c r="G1081" s="141"/>
      <c r="H1081" s="141"/>
      <c r="I1081" s="551"/>
      <c r="J1081" s="552"/>
      <c r="K1081" s="33"/>
      <c r="L1081" s="145"/>
    </row>
    <row r="1082" spans="5:12" s="15" customFormat="1" ht="12.75" customHeight="1" x14ac:dyDescent="0.2">
      <c r="E1082" s="27"/>
      <c r="F1082" s="27"/>
      <c r="G1082" s="141"/>
      <c r="H1082" s="141"/>
      <c r="I1082" s="551"/>
      <c r="J1082" s="552"/>
      <c r="K1082" s="33"/>
      <c r="L1082" s="145"/>
    </row>
    <row r="1083" spans="5:12" s="15" customFormat="1" ht="12.75" customHeight="1" x14ac:dyDescent="0.2">
      <c r="E1083" s="27"/>
      <c r="F1083" s="27"/>
      <c r="G1083" s="141"/>
      <c r="H1083" s="141"/>
      <c r="I1083" s="551"/>
      <c r="J1083" s="552"/>
      <c r="K1083" s="33"/>
      <c r="L1083" s="145"/>
    </row>
    <row r="1084" spans="5:12" s="15" customFormat="1" ht="12.75" customHeight="1" x14ac:dyDescent="0.2">
      <c r="E1084" s="27"/>
      <c r="F1084" s="27"/>
      <c r="G1084" s="141"/>
      <c r="H1084" s="141"/>
      <c r="I1084" s="551"/>
      <c r="J1084" s="552"/>
      <c r="K1084" s="33"/>
      <c r="L1084" s="145"/>
    </row>
    <row r="1085" spans="5:12" s="15" customFormat="1" ht="12.75" customHeight="1" x14ac:dyDescent="0.2">
      <c r="E1085" s="27"/>
      <c r="F1085" s="27"/>
      <c r="G1085" s="141"/>
      <c r="H1085" s="141"/>
      <c r="I1085" s="551"/>
      <c r="J1085" s="552"/>
      <c r="K1085" s="33"/>
      <c r="L1085" s="145"/>
    </row>
    <row r="1086" spans="5:12" s="15" customFormat="1" ht="12.75" customHeight="1" x14ac:dyDescent="0.2">
      <c r="E1086" s="27"/>
      <c r="F1086" s="27"/>
      <c r="G1086" s="141"/>
      <c r="H1086" s="141"/>
      <c r="I1086" s="551"/>
      <c r="J1086" s="552"/>
      <c r="K1086" s="33"/>
      <c r="L1086" s="145"/>
    </row>
    <row r="1087" spans="5:12" s="15" customFormat="1" ht="12.75" customHeight="1" x14ac:dyDescent="0.2">
      <c r="E1087" s="27"/>
      <c r="F1087" s="27"/>
      <c r="G1087" s="141"/>
      <c r="H1087" s="141"/>
      <c r="I1087" s="551"/>
      <c r="J1087" s="552"/>
      <c r="K1087" s="33"/>
      <c r="L1087" s="145"/>
    </row>
    <row r="1088" spans="5:12" s="15" customFormat="1" ht="12.75" customHeight="1" x14ac:dyDescent="0.2">
      <c r="E1088" s="27"/>
      <c r="F1088" s="27"/>
      <c r="G1088" s="141"/>
      <c r="H1088" s="141"/>
      <c r="I1088" s="551"/>
      <c r="J1088" s="552"/>
      <c r="K1088" s="33"/>
      <c r="L1088" s="145"/>
    </row>
    <row r="1089" spans="5:12" s="15" customFormat="1" ht="12.75" customHeight="1" x14ac:dyDescent="0.2">
      <c r="E1089" s="27"/>
      <c r="F1089" s="27"/>
      <c r="G1089" s="141"/>
      <c r="H1089" s="141"/>
      <c r="I1089" s="551"/>
      <c r="J1089" s="552"/>
      <c r="K1089" s="33"/>
      <c r="L1089" s="145"/>
    </row>
    <row r="1090" spans="5:12" s="15" customFormat="1" ht="12.75" customHeight="1" x14ac:dyDescent="0.2">
      <c r="E1090" s="27"/>
      <c r="F1090" s="27"/>
      <c r="G1090" s="141"/>
      <c r="H1090" s="141"/>
      <c r="I1090" s="551"/>
      <c r="J1090" s="552"/>
      <c r="K1090" s="33"/>
      <c r="L1090" s="145"/>
    </row>
    <row r="1091" spans="5:12" s="15" customFormat="1" ht="12.75" customHeight="1" x14ac:dyDescent="0.2">
      <c r="E1091" s="27"/>
      <c r="F1091" s="27"/>
      <c r="G1091" s="141"/>
      <c r="H1091" s="141"/>
      <c r="I1091" s="551"/>
      <c r="J1091" s="552"/>
      <c r="K1091" s="33"/>
      <c r="L1091" s="145"/>
    </row>
    <row r="1092" spans="5:12" s="15" customFormat="1" ht="12.75" customHeight="1" x14ac:dyDescent="0.2">
      <c r="E1092" s="27"/>
      <c r="F1092" s="27"/>
      <c r="G1092" s="141"/>
      <c r="H1092" s="141"/>
      <c r="I1092" s="551"/>
      <c r="J1092" s="552"/>
      <c r="K1092" s="33"/>
      <c r="L1092" s="145"/>
    </row>
    <row r="1093" spans="5:12" s="15" customFormat="1" ht="12.75" customHeight="1" x14ac:dyDescent="0.2">
      <c r="E1093" s="27"/>
      <c r="F1093" s="27"/>
      <c r="G1093" s="141"/>
      <c r="H1093" s="141"/>
      <c r="I1093" s="551"/>
      <c r="J1093" s="552"/>
      <c r="K1093" s="33"/>
      <c r="L1093" s="145"/>
    </row>
    <row r="1094" spans="5:12" s="15" customFormat="1" ht="12.75" customHeight="1" x14ac:dyDescent="0.2">
      <c r="E1094" s="27"/>
      <c r="F1094" s="27"/>
      <c r="G1094" s="141"/>
      <c r="H1094" s="141"/>
      <c r="I1094" s="551"/>
      <c r="J1094" s="552"/>
      <c r="K1094" s="33"/>
      <c r="L1094" s="145"/>
    </row>
    <row r="1095" spans="5:12" s="15" customFormat="1" ht="12.75" customHeight="1" x14ac:dyDescent="0.2">
      <c r="E1095" s="27"/>
      <c r="F1095" s="27"/>
      <c r="G1095" s="141"/>
      <c r="H1095" s="141"/>
      <c r="I1095" s="551"/>
      <c r="J1095" s="552"/>
      <c r="K1095" s="33"/>
      <c r="L1095" s="145"/>
    </row>
    <row r="1096" spans="5:12" s="15" customFormat="1" ht="12.75" customHeight="1" x14ac:dyDescent="0.2">
      <c r="E1096" s="27"/>
      <c r="F1096" s="27"/>
      <c r="G1096" s="141"/>
      <c r="H1096" s="141"/>
      <c r="I1096" s="551"/>
      <c r="J1096" s="552"/>
      <c r="K1096" s="33"/>
      <c r="L1096" s="145"/>
    </row>
    <row r="1097" spans="5:12" s="15" customFormat="1" ht="12.75" customHeight="1" x14ac:dyDescent="0.2">
      <c r="E1097" s="27"/>
      <c r="F1097" s="27"/>
      <c r="G1097" s="141"/>
      <c r="H1097" s="141"/>
      <c r="I1097" s="551"/>
      <c r="J1097" s="552"/>
      <c r="K1097" s="33"/>
      <c r="L1097" s="145"/>
    </row>
    <row r="1098" spans="5:12" s="15" customFormat="1" ht="12.75" customHeight="1" x14ac:dyDescent="0.2">
      <c r="E1098" s="27"/>
      <c r="F1098" s="27"/>
      <c r="G1098" s="141"/>
      <c r="H1098" s="141"/>
      <c r="I1098" s="551"/>
      <c r="J1098" s="552"/>
      <c r="K1098" s="33"/>
      <c r="L1098" s="145"/>
    </row>
    <row r="1099" spans="5:12" s="15" customFormat="1" ht="12.75" customHeight="1" x14ac:dyDescent="0.2">
      <c r="E1099" s="27"/>
      <c r="F1099" s="27"/>
      <c r="G1099" s="141"/>
      <c r="H1099" s="141"/>
      <c r="I1099" s="551"/>
      <c r="J1099" s="552"/>
      <c r="K1099" s="33"/>
      <c r="L1099" s="145"/>
    </row>
    <row r="1100" spans="5:12" s="15" customFormat="1" ht="12.75" customHeight="1" x14ac:dyDescent="0.2">
      <c r="E1100" s="27"/>
      <c r="F1100" s="27"/>
      <c r="G1100" s="141"/>
      <c r="H1100" s="141"/>
      <c r="I1100" s="551"/>
      <c r="J1100" s="552"/>
      <c r="K1100" s="33"/>
      <c r="L1100" s="145"/>
    </row>
    <row r="1101" spans="5:12" s="15" customFormat="1" ht="12.75" customHeight="1" x14ac:dyDescent="0.2">
      <c r="E1101" s="27"/>
      <c r="F1101" s="27"/>
      <c r="G1101" s="141"/>
      <c r="H1101" s="141"/>
      <c r="I1101" s="551"/>
      <c r="J1101" s="552"/>
      <c r="K1101" s="33"/>
      <c r="L1101" s="145"/>
    </row>
    <row r="1102" spans="5:12" s="15" customFormat="1" ht="12.75" customHeight="1" x14ac:dyDescent="0.2">
      <c r="E1102" s="27"/>
      <c r="F1102" s="27"/>
      <c r="G1102" s="141"/>
      <c r="H1102" s="141"/>
      <c r="I1102" s="551"/>
      <c r="J1102" s="552"/>
      <c r="K1102" s="33"/>
      <c r="L1102" s="145"/>
    </row>
    <row r="1103" spans="5:12" s="15" customFormat="1" ht="12.75" customHeight="1" x14ac:dyDescent="0.2">
      <c r="E1103" s="27"/>
      <c r="F1103" s="27"/>
      <c r="G1103" s="141"/>
      <c r="H1103" s="141"/>
      <c r="I1103" s="551"/>
      <c r="J1103" s="552"/>
      <c r="K1103" s="33"/>
      <c r="L1103" s="145"/>
    </row>
    <row r="1104" spans="5:12" s="15" customFormat="1" ht="12.75" customHeight="1" x14ac:dyDescent="0.2">
      <c r="E1104" s="27"/>
      <c r="F1104" s="27"/>
      <c r="G1104" s="141"/>
      <c r="H1104" s="141"/>
      <c r="I1104" s="551"/>
      <c r="J1104" s="552"/>
      <c r="K1104" s="33"/>
      <c r="L1104" s="145"/>
    </row>
    <row r="1105" spans="5:12" s="15" customFormat="1" ht="12.75" customHeight="1" x14ac:dyDescent="0.2">
      <c r="E1105" s="27"/>
      <c r="F1105" s="27"/>
      <c r="G1105" s="141"/>
      <c r="H1105" s="141"/>
      <c r="I1105" s="551"/>
      <c r="J1105" s="552"/>
      <c r="K1105" s="33"/>
      <c r="L1105" s="145"/>
    </row>
    <row r="1106" spans="5:12" s="15" customFormat="1" ht="12.75" customHeight="1" x14ac:dyDescent="0.2">
      <c r="E1106" s="27"/>
      <c r="F1106" s="27"/>
      <c r="G1106" s="141"/>
      <c r="H1106" s="141"/>
      <c r="I1106" s="551"/>
      <c r="J1106" s="552"/>
      <c r="K1106" s="33"/>
      <c r="L1106" s="145"/>
    </row>
    <row r="1107" spans="5:12" s="15" customFormat="1" ht="12.75" customHeight="1" x14ac:dyDescent="0.2">
      <c r="E1107" s="27"/>
      <c r="F1107" s="27"/>
      <c r="G1107" s="141"/>
      <c r="H1107" s="141"/>
      <c r="I1107" s="551"/>
      <c r="J1107" s="552"/>
      <c r="K1107" s="33"/>
      <c r="L1107" s="145"/>
    </row>
    <row r="1108" spans="5:12" s="15" customFormat="1" ht="12.75" customHeight="1" x14ac:dyDescent="0.2">
      <c r="E1108" s="27"/>
      <c r="F1108" s="27"/>
      <c r="G1108" s="141"/>
      <c r="H1108" s="141"/>
      <c r="I1108" s="551"/>
      <c r="J1108" s="552"/>
      <c r="K1108" s="33"/>
      <c r="L1108" s="145"/>
    </row>
    <row r="1109" spans="5:12" s="15" customFormat="1" ht="12.75" customHeight="1" x14ac:dyDescent="0.2">
      <c r="E1109" s="27"/>
      <c r="F1109" s="27"/>
      <c r="G1109" s="141"/>
      <c r="H1109" s="141"/>
      <c r="I1109" s="551"/>
      <c r="J1109" s="552"/>
      <c r="K1109" s="33"/>
      <c r="L1109" s="145"/>
    </row>
    <row r="1110" spans="5:12" s="15" customFormat="1" ht="12.75" customHeight="1" x14ac:dyDescent="0.2">
      <c r="E1110" s="27"/>
      <c r="F1110" s="27"/>
      <c r="G1110" s="141"/>
      <c r="H1110" s="141"/>
      <c r="I1110" s="551"/>
      <c r="J1110" s="552"/>
      <c r="K1110" s="33"/>
      <c r="L1110" s="145"/>
    </row>
    <row r="1111" spans="5:12" s="15" customFormat="1" ht="12.75" customHeight="1" x14ac:dyDescent="0.2">
      <c r="E1111" s="27"/>
      <c r="F1111" s="27"/>
      <c r="G1111" s="141"/>
      <c r="H1111" s="141"/>
      <c r="I1111" s="551"/>
      <c r="J1111" s="552"/>
      <c r="K1111" s="33"/>
      <c r="L1111" s="145"/>
    </row>
    <row r="1112" spans="5:12" s="15" customFormat="1" ht="12.75" customHeight="1" x14ac:dyDescent="0.2">
      <c r="E1112" s="27"/>
      <c r="F1112" s="27"/>
      <c r="G1112" s="141"/>
      <c r="H1112" s="141"/>
      <c r="I1112" s="551"/>
      <c r="J1112" s="552"/>
      <c r="K1112" s="33"/>
      <c r="L1112" s="145"/>
    </row>
    <row r="1113" spans="5:12" s="15" customFormat="1" ht="12.75" customHeight="1" x14ac:dyDescent="0.2">
      <c r="E1113" s="27"/>
      <c r="F1113" s="27"/>
      <c r="G1113" s="141"/>
      <c r="H1113" s="141"/>
      <c r="I1113" s="551"/>
      <c r="J1113" s="552"/>
      <c r="K1113" s="33"/>
      <c r="L1113" s="145"/>
    </row>
    <row r="1114" spans="5:12" s="15" customFormat="1" ht="12.75" customHeight="1" x14ac:dyDescent="0.2">
      <c r="E1114" s="27"/>
      <c r="F1114" s="27"/>
      <c r="G1114" s="141"/>
      <c r="H1114" s="141"/>
      <c r="I1114" s="551"/>
      <c r="J1114" s="552"/>
      <c r="K1114" s="33"/>
      <c r="L1114" s="145"/>
    </row>
    <row r="1115" spans="5:12" s="15" customFormat="1" ht="12.75" customHeight="1" x14ac:dyDescent="0.2">
      <c r="E1115" s="27"/>
      <c r="F1115" s="27"/>
      <c r="G1115" s="141"/>
      <c r="H1115" s="141"/>
      <c r="I1115" s="551"/>
      <c r="J1115" s="552"/>
      <c r="K1115" s="33"/>
      <c r="L1115" s="145"/>
    </row>
    <row r="1116" spans="5:12" s="15" customFormat="1" ht="12.75" customHeight="1" x14ac:dyDescent="0.2">
      <c r="E1116" s="27"/>
      <c r="F1116" s="27"/>
      <c r="G1116" s="141"/>
      <c r="H1116" s="141"/>
      <c r="I1116" s="551"/>
      <c r="J1116" s="552"/>
      <c r="K1116" s="33"/>
      <c r="L1116" s="145"/>
    </row>
    <row r="1117" spans="5:12" s="15" customFormat="1" ht="12.75" customHeight="1" x14ac:dyDescent="0.2">
      <c r="E1117" s="27"/>
      <c r="F1117" s="27"/>
      <c r="G1117" s="141"/>
      <c r="H1117" s="141"/>
      <c r="I1117" s="551"/>
      <c r="J1117" s="552"/>
      <c r="K1117" s="33"/>
      <c r="L1117" s="145"/>
    </row>
    <row r="1118" spans="5:12" s="15" customFormat="1" ht="12.75" customHeight="1" x14ac:dyDescent="0.2">
      <c r="E1118" s="27"/>
      <c r="F1118" s="27"/>
      <c r="G1118" s="141"/>
      <c r="H1118" s="141"/>
      <c r="I1118" s="551"/>
      <c r="J1118" s="552"/>
      <c r="K1118" s="33"/>
      <c r="L1118" s="145"/>
    </row>
    <row r="1119" spans="5:12" s="15" customFormat="1" ht="12.75" customHeight="1" x14ac:dyDescent="0.2">
      <c r="E1119" s="27"/>
      <c r="F1119" s="27"/>
      <c r="G1119" s="141"/>
      <c r="H1119" s="141"/>
      <c r="I1119" s="551"/>
      <c r="J1119" s="552"/>
      <c r="K1119" s="33"/>
      <c r="L1119" s="145"/>
    </row>
    <row r="1120" spans="5:12" s="15" customFormat="1" ht="12.75" customHeight="1" x14ac:dyDescent="0.2">
      <c r="E1120" s="27"/>
      <c r="F1120" s="27"/>
      <c r="G1120" s="141"/>
      <c r="H1120" s="141"/>
      <c r="I1120" s="551"/>
      <c r="J1120" s="552"/>
      <c r="K1120" s="33"/>
      <c r="L1120" s="145"/>
    </row>
    <row r="1121" spans="5:12" s="15" customFormat="1" ht="12.75" customHeight="1" x14ac:dyDescent="0.2">
      <c r="E1121" s="27"/>
      <c r="F1121" s="27"/>
      <c r="G1121" s="141"/>
      <c r="H1121" s="141"/>
      <c r="I1121" s="551"/>
      <c r="J1121" s="552"/>
      <c r="K1121" s="33"/>
      <c r="L1121" s="145"/>
    </row>
    <row r="1122" spans="5:12" s="15" customFormat="1" ht="12.75" customHeight="1" x14ac:dyDescent="0.2">
      <c r="E1122" s="27"/>
      <c r="F1122" s="27"/>
      <c r="G1122" s="141"/>
      <c r="H1122" s="141"/>
      <c r="I1122" s="551"/>
      <c r="J1122" s="552"/>
      <c r="K1122" s="33"/>
      <c r="L1122" s="145"/>
    </row>
    <row r="1123" spans="5:12" s="15" customFormat="1" ht="12.75" customHeight="1" x14ac:dyDescent="0.2">
      <c r="E1123" s="27"/>
      <c r="F1123" s="27"/>
      <c r="G1123" s="141"/>
      <c r="H1123" s="141"/>
      <c r="I1123" s="551"/>
      <c r="J1123" s="552"/>
      <c r="K1123" s="33"/>
      <c r="L1123" s="145"/>
    </row>
    <row r="1124" spans="5:12" s="15" customFormat="1" ht="12.75" customHeight="1" x14ac:dyDescent="0.2">
      <c r="E1124" s="27"/>
      <c r="F1124" s="27"/>
      <c r="G1124" s="141"/>
      <c r="H1124" s="141"/>
      <c r="I1124" s="551"/>
      <c r="J1124" s="552"/>
      <c r="K1124" s="33"/>
      <c r="L1124" s="145"/>
    </row>
    <row r="1125" spans="5:12" s="15" customFormat="1" ht="12.75" customHeight="1" x14ac:dyDescent="0.2">
      <c r="E1125" s="27"/>
      <c r="F1125" s="27"/>
      <c r="G1125" s="141"/>
      <c r="H1125" s="141"/>
      <c r="I1125" s="551"/>
      <c r="J1125" s="552"/>
      <c r="K1125" s="33"/>
      <c r="L1125" s="145"/>
    </row>
    <row r="1126" spans="5:12" s="15" customFormat="1" ht="12.75" customHeight="1" x14ac:dyDescent="0.2">
      <c r="E1126" s="27"/>
      <c r="F1126" s="27"/>
      <c r="G1126" s="141"/>
      <c r="H1126" s="141"/>
      <c r="I1126" s="551"/>
      <c r="J1126" s="552"/>
      <c r="K1126" s="33"/>
      <c r="L1126" s="145"/>
    </row>
    <row r="1127" spans="5:12" s="15" customFormat="1" ht="12.75" customHeight="1" x14ac:dyDescent="0.2">
      <c r="E1127" s="27"/>
      <c r="F1127" s="27"/>
      <c r="G1127" s="141"/>
      <c r="H1127" s="141"/>
      <c r="I1127" s="551"/>
      <c r="J1127" s="552"/>
      <c r="K1127" s="33"/>
      <c r="L1127" s="145"/>
    </row>
    <row r="1128" spans="5:12" s="15" customFormat="1" ht="12.75" customHeight="1" x14ac:dyDescent="0.2">
      <c r="E1128" s="27"/>
      <c r="F1128" s="27"/>
      <c r="G1128" s="141"/>
      <c r="H1128" s="141"/>
      <c r="I1128" s="551"/>
      <c r="J1128" s="552"/>
      <c r="K1128" s="33"/>
      <c r="L1128" s="145"/>
    </row>
    <row r="1129" spans="5:12" s="15" customFormat="1" ht="12.75" customHeight="1" x14ac:dyDescent="0.2">
      <c r="E1129" s="27"/>
      <c r="F1129" s="27"/>
      <c r="G1129" s="141"/>
      <c r="H1129" s="141"/>
      <c r="I1129" s="551"/>
      <c r="J1129" s="552"/>
      <c r="K1129" s="33"/>
      <c r="L1129" s="145"/>
    </row>
    <row r="1130" spans="5:12" s="15" customFormat="1" ht="12.75" customHeight="1" x14ac:dyDescent="0.2">
      <c r="E1130" s="27"/>
      <c r="F1130" s="27"/>
      <c r="G1130" s="141"/>
      <c r="H1130" s="141"/>
      <c r="I1130" s="551"/>
      <c r="J1130" s="552"/>
      <c r="K1130" s="33"/>
      <c r="L1130" s="145"/>
    </row>
    <row r="1131" spans="5:12" s="15" customFormat="1" ht="12.75" customHeight="1" x14ac:dyDescent="0.2">
      <c r="E1131" s="27"/>
      <c r="F1131" s="27"/>
      <c r="G1131" s="141"/>
      <c r="H1131" s="141"/>
      <c r="I1131" s="551"/>
      <c r="J1131" s="552"/>
      <c r="K1131" s="33"/>
      <c r="L1131" s="145"/>
    </row>
    <row r="1132" spans="5:12" s="15" customFormat="1" ht="12.75" customHeight="1" x14ac:dyDescent="0.2">
      <c r="E1132" s="27"/>
      <c r="F1132" s="27"/>
      <c r="G1132" s="141"/>
      <c r="H1132" s="141"/>
      <c r="I1132" s="551"/>
      <c r="J1132" s="552"/>
      <c r="K1132" s="33"/>
      <c r="L1132" s="145"/>
    </row>
    <row r="1133" spans="5:12" s="15" customFormat="1" ht="12.75" customHeight="1" x14ac:dyDescent="0.2">
      <c r="E1133" s="27"/>
      <c r="F1133" s="27"/>
      <c r="G1133" s="141"/>
      <c r="H1133" s="141"/>
      <c r="I1133" s="551"/>
      <c r="J1133" s="552"/>
      <c r="K1133" s="33"/>
      <c r="L1133" s="145"/>
    </row>
    <row r="1134" spans="5:12" s="15" customFormat="1" ht="12.75" customHeight="1" x14ac:dyDescent="0.2">
      <c r="E1134" s="27"/>
      <c r="F1134" s="27"/>
      <c r="G1134" s="141"/>
      <c r="H1134" s="141"/>
      <c r="I1134" s="551"/>
      <c r="J1134" s="552"/>
      <c r="K1134" s="33"/>
      <c r="L1134" s="145"/>
    </row>
    <row r="1135" spans="5:12" s="15" customFormat="1" ht="12.75" customHeight="1" x14ac:dyDescent="0.2">
      <c r="E1135" s="27"/>
      <c r="F1135" s="27"/>
      <c r="G1135" s="141"/>
      <c r="H1135" s="141"/>
      <c r="I1135" s="551"/>
      <c r="J1135" s="552"/>
      <c r="K1135" s="33"/>
      <c r="L1135" s="145"/>
    </row>
    <row r="1136" spans="5:12" s="15" customFormat="1" ht="12.75" customHeight="1" x14ac:dyDescent="0.2">
      <c r="E1136" s="27"/>
      <c r="F1136" s="27"/>
      <c r="G1136" s="141"/>
      <c r="H1136" s="141"/>
      <c r="I1136" s="551"/>
      <c r="J1136" s="552"/>
      <c r="K1136" s="33"/>
      <c r="L1136" s="145"/>
    </row>
    <row r="1137" spans="5:12" s="15" customFormat="1" ht="12.75" customHeight="1" x14ac:dyDescent="0.2">
      <c r="E1137" s="27"/>
      <c r="F1137" s="27"/>
      <c r="G1137" s="141"/>
      <c r="H1137" s="141"/>
      <c r="I1137" s="551"/>
      <c r="J1137" s="552"/>
      <c r="K1137" s="33"/>
      <c r="L1137" s="145"/>
    </row>
    <row r="1138" spans="5:12" s="15" customFormat="1" ht="12.75" customHeight="1" x14ac:dyDescent="0.2">
      <c r="E1138" s="27"/>
      <c r="F1138" s="27"/>
      <c r="G1138" s="141"/>
      <c r="H1138" s="141"/>
      <c r="I1138" s="551"/>
      <c r="J1138" s="552"/>
      <c r="K1138" s="33"/>
      <c r="L1138" s="145"/>
    </row>
    <row r="1139" spans="5:12" s="15" customFormat="1" ht="12.75" customHeight="1" x14ac:dyDescent="0.2">
      <c r="E1139" s="27"/>
      <c r="F1139" s="27"/>
      <c r="G1139" s="141"/>
      <c r="H1139" s="141"/>
      <c r="I1139" s="551"/>
      <c r="J1139" s="552"/>
      <c r="K1139" s="33"/>
      <c r="L1139" s="145"/>
    </row>
    <row r="1140" spans="5:12" s="15" customFormat="1" ht="12.75" customHeight="1" x14ac:dyDescent="0.2">
      <c r="E1140" s="27"/>
      <c r="F1140" s="27"/>
      <c r="G1140" s="141"/>
      <c r="H1140" s="141"/>
      <c r="I1140" s="551"/>
      <c r="J1140" s="552"/>
      <c r="K1140" s="33"/>
      <c r="L1140" s="145"/>
    </row>
    <row r="1141" spans="5:12" s="15" customFormat="1" ht="12.75" customHeight="1" x14ac:dyDescent="0.2">
      <c r="E1141" s="27"/>
      <c r="F1141" s="27"/>
      <c r="G1141" s="141"/>
      <c r="H1141" s="141"/>
      <c r="I1141" s="551"/>
      <c r="J1141" s="552"/>
      <c r="K1141" s="33"/>
      <c r="L1141" s="145"/>
    </row>
    <row r="1142" spans="5:12" s="15" customFormat="1" ht="12.75" customHeight="1" x14ac:dyDescent="0.2">
      <c r="E1142" s="27"/>
      <c r="F1142" s="27"/>
      <c r="G1142" s="141"/>
      <c r="H1142" s="141"/>
      <c r="I1142" s="551"/>
      <c r="J1142" s="552"/>
      <c r="K1142" s="33"/>
      <c r="L1142" s="145"/>
    </row>
    <row r="1143" spans="5:12" s="15" customFormat="1" ht="12.75" customHeight="1" x14ac:dyDescent="0.2">
      <c r="E1143" s="27"/>
      <c r="F1143" s="27"/>
      <c r="G1143" s="141"/>
      <c r="H1143" s="141"/>
      <c r="I1143" s="551"/>
      <c r="J1143" s="552"/>
      <c r="K1143" s="33"/>
      <c r="L1143" s="145"/>
    </row>
    <row r="1144" spans="5:12" s="15" customFormat="1" ht="12.75" customHeight="1" x14ac:dyDescent="0.2">
      <c r="E1144" s="27"/>
      <c r="F1144" s="27"/>
      <c r="G1144" s="141"/>
      <c r="H1144" s="141"/>
      <c r="I1144" s="551"/>
      <c r="J1144" s="552"/>
      <c r="K1144" s="33"/>
      <c r="L1144" s="145"/>
    </row>
    <row r="1145" spans="5:12" s="15" customFormat="1" ht="12.75" customHeight="1" x14ac:dyDescent="0.2">
      <c r="E1145" s="27"/>
      <c r="F1145" s="27"/>
      <c r="G1145" s="141"/>
      <c r="H1145" s="141"/>
      <c r="I1145" s="551"/>
      <c r="J1145" s="552"/>
      <c r="K1145" s="33"/>
      <c r="L1145" s="145"/>
    </row>
    <row r="1146" spans="5:12" s="15" customFormat="1" ht="12.75" customHeight="1" x14ac:dyDescent="0.2">
      <c r="E1146" s="27"/>
      <c r="F1146" s="27"/>
      <c r="G1146" s="141"/>
      <c r="H1146" s="141"/>
      <c r="I1146" s="551"/>
      <c r="J1146" s="552"/>
      <c r="K1146" s="33"/>
      <c r="L1146" s="145"/>
    </row>
    <row r="1147" spans="5:12" s="15" customFormat="1" ht="12.75" customHeight="1" x14ac:dyDescent="0.2">
      <c r="E1147" s="27"/>
      <c r="F1147" s="27"/>
      <c r="G1147" s="141"/>
      <c r="H1147" s="141"/>
      <c r="I1147" s="551"/>
      <c r="J1147" s="552"/>
      <c r="K1147" s="33"/>
      <c r="L1147" s="145"/>
    </row>
    <row r="1148" spans="5:12" s="15" customFormat="1" ht="12.75" customHeight="1" x14ac:dyDescent="0.2">
      <c r="E1148" s="27"/>
      <c r="F1148" s="27"/>
      <c r="G1148" s="141"/>
      <c r="H1148" s="141"/>
      <c r="I1148" s="551"/>
      <c r="J1148" s="552"/>
      <c r="K1148" s="33"/>
      <c r="L1148" s="145"/>
    </row>
    <row r="1149" spans="5:12" s="15" customFormat="1" ht="12.75" customHeight="1" x14ac:dyDescent="0.2">
      <c r="E1149" s="27"/>
      <c r="F1149" s="27"/>
      <c r="G1149" s="141"/>
      <c r="H1149" s="141"/>
      <c r="I1149" s="551"/>
      <c r="J1149" s="552"/>
      <c r="K1149" s="33"/>
      <c r="L1149" s="145"/>
    </row>
    <row r="1150" spans="5:12" s="15" customFormat="1" ht="12.75" customHeight="1" x14ac:dyDescent="0.2">
      <c r="E1150" s="27"/>
      <c r="F1150" s="27"/>
      <c r="G1150" s="141"/>
      <c r="H1150" s="141"/>
      <c r="I1150" s="551"/>
      <c r="J1150" s="552"/>
      <c r="K1150" s="33"/>
      <c r="L1150" s="145"/>
    </row>
    <row r="1151" spans="5:12" s="15" customFormat="1" ht="12.75" customHeight="1" x14ac:dyDescent="0.2">
      <c r="E1151" s="27"/>
      <c r="F1151" s="27"/>
      <c r="G1151" s="141"/>
      <c r="H1151" s="141"/>
      <c r="I1151" s="551"/>
      <c r="J1151" s="552"/>
      <c r="K1151" s="33"/>
      <c r="L1151" s="145"/>
    </row>
    <row r="1152" spans="5:12" s="15" customFormat="1" ht="12.75" customHeight="1" x14ac:dyDescent="0.2">
      <c r="E1152" s="27"/>
      <c r="F1152" s="27"/>
      <c r="G1152" s="141"/>
      <c r="H1152" s="141"/>
      <c r="I1152" s="551"/>
      <c r="J1152" s="552"/>
      <c r="K1152" s="33"/>
      <c r="L1152" s="145"/>
    </row>
    <row r="1153" spans="5:12" s="15" customFormat="1" ht="12.75" customHeight="1" x14ac:dyDescent="0.2">
      <c r="E1153" s="27"/>
      <c r="F1153" s="27"/>
      <c r="G1153" s="141"/>
      <c r="H1153" s="141"/>
      <c r="I1153" s="551"/>
      <c r="J1153" s="552"/>
      <c r="K1153" s="33"/>
      <c r="L1153" s="145"/>
    </row>
    <row r="1154" spans="5:12" s="15" customFormat="1" ht="12.75" customHeight="1" x14ac:dyDescent="0.2">
      <c r="E1154" s="27"/>
      <c r="F1154" s="27"/>
      <c r="G1154" s="141"/>
      <c r="H1154" s="141"/>
      <c r="I1154" s="551"/>
      <c r="J1154" s="552"/>
      <c r="K1154" s="33"/>
      <c r="L1154" s="145"/>
    </row>
    <row r="1155" spans="5:12" s="15" customFormat="1" ht="12.75" customHeight="1" x14ac:dyDescent="0.2">
      <c r="E1155" s="27"/>
      <c r="F1155" s="27"/>
      <c r="G1155" s="141"/>
      <c r="H1155" s="141"/>
      <c r="I1155" s="551"/>
      <c r="J1155" s="552"/>
      <c r="K1155" s="33"/>
      <c r="L1155" s="145"/>
    </row>
    <row r="1156" spans="5:12" s="15" customFormat="1" ht="12.75" customHeight="1" x14ac:dyDescent="0.2">
      <c r="E1156" s="27"/>
      <c r="F1156" s="27"/>
      <c r="G1156" s="141"/>
      <c r="H1156" s="141"/>
      <c r="I1156" s="551"/>
      <c r="J1156" s="552"/>
      <c r="K1156" s="33"/>
      <c r="L1156" s="145"/>
    </row>
    <row r="1157" spans="5:12" s="15" customFormat="1" ht="12.75" customHeight="1" x14ac:dyDescent="0.2">
      <c r="E1157" s="27"/>
      <c r="F1157" s="27"/>
      <c r="G1157" s="141"/>
      <c r="H1157" s="141"/>
      <c r="I1157" s="551"/>
      <c r="J1157" s="552"/>
      <c r="K1157" s="33"/>
      <c r="L1157" s="145"/>
    </row>
    <row r="1158" spans="5:12" s="15" customFormat="1" ht="12.75" customHeight="1" x14ac:dyDescent="0.2">
      <c r="E1158" s="27"/>
      <c r="F1158" s="27"/>
      <c r="G1158" s="141"/>
      <c r="H1158" s="141"/>
      <c r="I1158" s="551"/>
      <c r="J1158" s="552"/>
      <c r="K1158" s="33"/>
      <c r="L1158" s="145"/>
    </row>
    <row r="1159" spans="5:12" s="15" customFormat="1" ht="12.75" customHeight="1" x14ac:dyDescent="0.2">
      <c r="E1159" s="27"/>
      <c r="F1159" s="27"/>
      <c r="G1159" s="141"/>
      <c r="H1159" s="141"/>
      <c r="I1159" s="551"/>
      <c r="J1159" s="552"/>
      <c r="K1159" s="33"/>
      <c r="L1159" s="145"/>
    </row>
    <row r="1160" spans="5:12" s="15" customFormat="1" ht="12.75" customHeight="1" x14ac:dyDescent="0.2">
      <c r="E1160" s="27"/>
      <c r="F1160" s="27"/>
      <c r="G1160" s="141"/>
      <c r="H1160" s="141"/>
      <c r="I1160" s="551"/>
      <c r="J1160" s="552"/>
      <c r="K1160" s="33"/>
      <c r="L1160" s="145"/>
    </row>
    <row r="1161" spans="5:12" s="15" customFormat="1" ht="12.75" customHeight="1" x14ac:dyDescent="0.2">
      <c r="E1161" s="27"/>
      <c r="F1161" s="27"/>
      <c r="G1161" s="141"/>
      <c r="H1161" s="141"/>
      <c r="I1161" s="551"/>
      <c r="J1161" s="552"/>
      <c r="K1161" s="33"/>
      <c r="L1161" s="145"/>
    </row>
    <row r="1162" spans="5:12" s="15" customFormat="1" ht="12.75" customHeight="1" x14ac:dyDescent="0.2">
      <c r="E1162" s="27"/>
      <c r="F1162" s="27"/>
      <c r="G1162" s="141"/>
      <c r="H1162" s="141"/>
      <c r="I1162" s="551"/>
      <c r="J1162" s="552"/>
      <c r="K1162" s="33"/>
      <c r="L1162" s="145"/>
    </row>
    <row r="1163" spans="5:12" s="15" customFormat="1" ht="12.75" customHeight="1" x14ac:dyDescent="0.2">
      <c r="E1163" s="27"/>
      <c r="F1163" s="27"/>
      <c r="G1163" s="141"/>
      <c r="H1163" s="141"/>
      <c r="I1163" s="551"/>
      <c r="J1163" s="552"/>
      <c r="K1163" s="33"/>
      <c r="L1163" s="145"/>
    </row>
    <row r="1164" spans="5:12" s="15" customFormat="1" ht="12.75" customHeight="1" x14ac:dyDescent="0.2">
      <c r="E1164" s="27"/>
      <c r="F1164" s="27"/>
      <c r="G1164" s="141"/>
      <c r="H1164" s="141"/>
      <c r="I1164" s="551"/>
      <c r="J1164" s="552"/>
      <c r="K1164" s="33"/>
      <c r="L1164" s="145"/>
    </row>
    <row r="1165" spans="5:12" s="15" customFormat="1" ht="12.75" customHeight="1" x14ac:dyDescent="0.2">
      <c r="E1165" s="27"/>
      <c r="F1165" s="27"/>
      <c r="G1165" s="141"/>
      <c r="H1165" s="141"/>
      <c r="I1165" s="551"/>
      <c r="J1165" s="552"/>
      <c r="K1165" s="33"/>
      <c r="L1165" s="145"/>
    </row>
    <row r="1166" spans="5:12" s="15" customFormat="1" ht="12.75" customHeight="1" x14ac:dyDescent="0.2">
      <c r="E1166" s="27"/>
      <c r="F1166" s="27"/>
      <c r="G1166" s="141"/>
      <c r="H1166" s="141"/>
      <c r="I1166" s="551"/>
      <c r="J1166" s="552"/>
      <c r="K1166" s="33"/>
      <c r="L1166" s="145"/>
    </row>
    <row r="1167" spans="5:12" s="15" customFormat="1" ht="12.75" customHeight="1" x14ac:dyDescent="0.2">
      <c r="E1167" s="27"/>
      <c r="F1167" s="27"/>
      <c r="G1167" s="141"/>
      <c r="H1167" s="141"/>
      <c r="I1167" s="551"/>
      <c r="J1167" s="552"/>
      <c r="K1167" s="33"/>
      <c r="L1167" s="145"/>
    </row>
    <row r="1168" spans="5:12" s="15" customFormat="1" ht="12.75" customHeight="1" x14ac:dyDescent="0.2">
      <c r="E1168" s="27"/>
      <c r="F1168" s="27"/>
      <c r="G1168" s="141"/>
      <c r="H1168" s="141"/>
      <c r="I1168" s="551"/>
      <c r="J1168" s="552"/>
      <c r="K1168" s="33"/>
      <c r="L1168" s="145"/>
    </row>
    <row r="1169" spans="5:12" s="15" customFormat="1" ht="12.75" customHeight="1" x14ac:dyDescent="0.2">
      <c r="E1169" s="27"/>
      <c r="F1169" s="27"/>
      <c r="G1169" s="141"/>
      <c r="H1169" s="141"/>
      <c r="I1169" s="551"/>
      <c r="J1169" s="552"/>
      <c r="K1169" s="33"/>
      <c r="L1169" s="145"/>
    </row>
    <row r="1170" spans="5:12" s="15" customFormat="1" ht="12.75" customHeight="1" x14ac:dyDescent="0.2">
      <c r="E1170" s="27"/>
      <c r="F1170" s="27"/>
      <c r="G1170" s="141"/>
      <c r="H1170" s="141"/>
      <c r="I1170" s="551"/>
      <c r="J1170" s="552"/>
      <c r="K1170" s="33"/>
      <c r="L1170" s="145"/>
    </row>
    <row r="1171" spans="5:12" s="15" customFormat="1" ht="12.75" customHeight="1" x14ac:dyDescent="0.2">
      <c r="E1171" s="27"/>
      <c r="F1171" s="27"/>
      <c r="G1171" s="141"/>
      <c r="H1171" s="141"/>
      <c r="I1171" s="551"/>
      <c r="J1171" s="552"/>
      <c r="K1171" s="33"/>
      <c r="L1171" s="145"/>
    </row>
    <row r="1172" spans="5:12" s="15" customFormat="1" ht="12.75" customHeight="1" x14ac:dyDescent="0.2">
      <c r="E1172" s="27"/>
      <c r="F1172" s="27"/>
      <c r="G1172" s="141"/>
      <c r="H1172" s="141"/>
      <c r="I1172" s="551"/>
      <c r="J1172" s="552"/>
      <c r="K1172" s="33"/>
      <c r="L1172" s="145"/>
    </row>
    <row r="1173" spans="5:12" s="15" customFormat="1" ht="12.75" customHeight="1" x14ac:dyDescent="0.2">
      <c r="E1173" s="27"/>
      <c r="F1173" s="27"/>
      <c r="G1173" s="141"/>
      <c r="H1173" s="141"/>
      <c r="I1173" s="551"/>
      <c r="J1173" s="552"/>
      <c r="K1173" s="33"/>
      <c r="L1173" s="145"/>
    </row>
    <row r="1174" spans="5:12" s="15" customFormat="1" ht="12.75" customHeight="1" x14ac:dyDescent="0.2">
      <c r="E1174" s="27"/>
      <c r="F1174" s="27"/>
      <c r="G1174" s="141"/>
      <c r="H1174" s="141"/>
      <c r="I1174" s="551"/>
      <c r="J1174" s="552"/>
      <c r="K1174" s="33"/>
      <c r="L1174" s="145"/>
    </row>
    <row r="1175" spans="5:12" s="15" customFormat="1" ht="12.75" customHeight="1" x14ac:dyDescent="0.2">
      <c r="E1175" s="27"/>
      <c r="F1175" s="27"/>
      <c r="G1175" s="141"/>
      <c r="H1175" s="141"/>
      <c r="I1175" s="551"/>
      <c r="J1175" s="552"/>
      <c r="K1175" s="33"/>
      <c r="L1175" s="145"/>
    </row>
    <row r="1176" spans="5:12" s="15" customFormat="1" ht="12.75" customHeight="1" x14ac:dyDescent="0.2">
      <c r="E1176" s="27"/>
      <c r="F1176" s="27"/>
      <c r="G1176" s="141"/>
      <c r="H1176" s="141"/>
      <c r="I1176" s="551"/>
      <c r="J1176" s="552"/>
      <c r="K1176" s="33"/>
      <c r="L1176" s="145"/>
    </row>
    <row r="1177" spans="5:12" s="15" customFormat="1" ht="12.75" customHeight="1" x14ac:dyDescent="0.2">
      <c r="E1177" s="27"/>
      <c r="F1177" s="27"/>
      <c r="G1177" s="141"/>
      <c r="H1177" s="141"/>
      <c r="I1177" s="551"/>
      <c r="J1177" s="552"/>
      <c r="K1177" s="33"/>
      <c r="L1177" s="145"/>
    </row>
    <row r="1178" spans="5:12" s="15" customFormat="1" ht="12.75" customHeight="1" x14ac:dyDescent="0.2">
      <c r="E1178" s="27"/>
      <c r="F1178" s="27"/>
      <c r="G1178" s="141"/>
      <c r="H1178" s="141"/>
      <c r="I1178" s="551"/>
      <c r="J1178" s="552"/>
      <c r="K1178" s="33"/>
      <c r="L1178" s="145"/>
    </row>
    <row r="1179" spans="5:12" s="15" customFormat="1" ht="12.75" customHeight="1" x14ac:dyDescent="0.2">
      <c r="E1179" s="27"/>
      <c r="F1179" s="27"/>
      <c r="G1179" s="141"/>
      <c r="H1179" s="141"/>
      <c r="I1179" s="551"/>
      <c r="J1179" s="552"/>
      <c r="K1179" s="33"/>
      <c r="L1179" s="145"/>
    </row>
    <row r="1180" spans="5:12" s="15" customFormat="1" ht="12.75" customHeight="1" x14ac:dyDescent="0.2">
      <c r="E1180" s="27"/>
      <c r="F1180" s="27"/>
      <c r="G1180" s="141"/>
      <c r="H1180" s="141"/>
      <c r="I1180" s="551"/>
      <c r="J1180" s="552"/>
      <c r="K1180" s="33"/>
      <c r="L1180" s="145"/>
    </row>
    <row r="1181" spans="5:12" s="15" customFormat="1" ht="12.75" customHeight="1" x14ac:dyDescent="0.2">
      <c r="E1181" s="27"/>
      <c r="F1181" s="27"/>
      <c r="G1181" s="141"/>
      <c r="H1181" s="141"/>
      <c r="I1181" s="551"/>
      <c r="J1181" s="552"/>
      <c r="K1181" s="33"/>
      <c r="L1181" s="145"/>
    </row>
    <row r="1182" spans="5:12" s="15" customFormat="1" ht="12.75" customHeight="1" x14ac:dyDescent="0.2">
      <c r="E1182" s="27"/>
      <c r="F1182" s="27"/>
      <c r="G1182" s="141"/>
      <c r="H1182" s="141"/>
      <c r="I1182" s="551"/>
      <c r="J1182" s="552"/>
      <c r="K1182" s="33"/>
      <c r="L1182" s="145"/>
    </row>
    <row r="1183" spans="5:12" s="15" customFormat="1" ht="12.75" customHeight="1" x14ac:dyDescent="0.2">
      <c r="E1183" s="27"/>
      <c r="F1183" s="27"/>
      <c r="G1183" s="141"/>
      <c r="H1183" s="141"/>
      <c r="I1183" s="551"/>
      <c r="J1183" s="552"/>
      <c r="K1183" s="33"/>
      <c r="L1183" s="145"/>
    </row>
    <row r="1184" spans="5:12" s="15" customFormat="1" ht="12.75" customHeight="1" x14ac:dyDescent="0.2">
      <c r="E1184" s="27"/>
      <c r="F1184" s="27"/>
      <c r="G1184" s="141"/>
      <c r="H1184" s="141"/>
      <c r="I1184" s="551"/>
      <c r="J1184" s="552"/>
      <c r="K1184" s="33"/>
      <c r="L1184" s="145"/>
    </row>
    <row r="1185" spans="5:12" s="15" customFormat="1" ht="12.75" customHeight="1" x14ac:dyDescent="0.2">
      <c r="E1185" s="27"/>
      <c r="F1185" s="27"/>
      <c r="G1185" s="141"/>
      <c r="H1185" s="141"/>
      <c r="I1185" s="551"/>
      <c r="J1185" s="552"/>
      <c r="K1185" s="33"/>
      <c r="L1185" s="145"/>
    </row>
    <row r="1186" spans="5:12" s="15" customFormat="1" ht="12.75" customHeight="1" x14ac:dyDescent="0.2">
      <c r="E1186" s="27"/>
      <c r="F1186" s="27"/>
      <c r="G1186" s="141"/>
      <c r="H1186" s="141"/>
      <c r="I1186" s="551"/>
      <c r="J1186" s="552"/>
      <c r="K1186" s="33"/>
      <c r="L1186" s="145"/>
    </row>
    <row r="1187" spans="5:12" s="15" customFormat="1" ht="12.75" customHeight="1" x14ac:dyDescent="0.2">
      <c r="E1187" s="27"/>
      <c r="F1187" s="27"/>
      <c r="G1187" s="141"/>
      <c r="H1187" s="141"/>
      <c r="I1187" s="551"/>
      <c r="J1187" s="552"/>
      <c r="K1187" s="33"/>
      <c r="L1187" s="145"/>
    </row>
    <row r="1188" spans="5:12" s="15" customFormat="1" ht="12.75" customHeight="1" x14ac:dyDescent="0.2">
      <c r="E1188" s="27"/>
      <c r="F1188" s="27"/>
      <c r="G1188" s="141"/>
      <c r="H1188" s="141"/>
      <c r="I1188" s="551"/>
      <c r="J1188" s="552"/>
      <c r="K1188" s="33"/>
      <c r="L1188" s="145"/>
    </row>
    <row r="1189" spans="5:12" s="15" customFormat="1" ht="12.75" customHeight="1" x14ac:dyDescent="0.2">
      <c r="E1189" s="27"/>
      <c r="F1189" s="27"/>
      <c r="G1189" s="141"/>
      <c r="H1189" s="141"/>
      <c r="I1189" s="551"/>
      <c r="J1189" s="552"/>
      <c r="K1189" s="33"/>
      <c r="L1189" s="145"/>
    </row>
    <row r="1190" spans="5:12" s="15" customFormat="1" ht="12.75" customHeight="1" x14ac:dyDescent="0.2">
      <c r="E1190" s="27"/>
      <c r="F1190" s="27"/>
      <c r="G1190" s="141"/>
      <c r="H1190" s="141"/>
      <c r="I1190" s="551"/>
      <c r="J1190" s="552"/>
      <c r="K1190" s="33"/>
      <c r="L1190" s="145"/>
    </row>
    <row r="1191" spans="5:12" s="15" customFormat="1" ht="12.75" customHeight="1" x14ac:dyDescent="0.2">
      <c r="E1191" s="27"/>
      <c r="F1191" s="27"/>
      <c r="G1191" s="141"/>
      <c r="H1191" s="141"/>
      <c r="I1191" s="551"/>
      <c r="J1191" s="552"/>
      <c r="K1191" s="33"/>
      <c r="L1191" s="145"/>
    </row>
    <row r="1192" spans="5:12" s="15" customFormat="1" ht="12.75" customHeight="1" x14ac:dyDescent="0.2">
      <c r="E1192" s="27"/>
      <c r="F1192" s="27"/>
      <c r="G1192" s="141"/>
      <c r="H1192" s="141"/>
      <c r="I1192" s="551"/>
      <c r="J1192" s="552"/>
      <c r="K1192" s="33"/>
      <c r="L1192" s="145"/>
    </row>
    <row r="1193" spans="5:12" s="15" customFormat="1" ht="12.75" customHeight="1" x14ac:dyDescent="0.2">
      <c r="E1193" s="27"/>
      <c r="F1193" s="27"/>
      <c r="G1193" s="141"/>
      <c r="H1193" s="141"/>
      <c r="I1193" s="551"/>
      <c r="J1193" s="552"/>
      <c r="K1193" s="33"/>
      <c r="L1193" s="145"/>
    </row>
    <row r="1194" spans="5:12" s="15" customFormat="1" ht="12.75" customHeight="1" x14ac:dyDescent="0.2">
      <c r="E1194" s="27"/>
      <c r="F1194" s="27"/>
      <c r="G1194" s="141"/>
      <c r="H1194" s="141"/>
      <c r="I1194" s="551"/>
      <c r="J1194" s="552"/>
      <c r="K1194" s="33"/>
      <c r="L1194" s="145"/>
    </row>
    <row r="1195" spans="5:12" s="15" customFormat="1" ht="12.75" customHeight="1" x14ac:dyDescent="0.2">
      <c r="E1195" s="27"/>
      <c r="F1195" s="27"/>
      <c r="G1195" s="141"/>
      <c r="H1195" s="141"/>
      <c r="I1195" s="551"/>
      <c r="J1195" s="552"/>
      <c r="K1195" s="33"/>
      <c r="L1195" s="145"/>
    </row>
    <row r="1196" spans="5:12" s="15" customFormat="1" ht="12.75" customHeight="1" x14ac:dyDescent="0.2">
      <c r="E1196" s="27"/>
      <c r="F1196" s="27"/>
      <c r="G1196" s="141"/>
      <c r="H1196" s="141"/>
      <c r="I1196" s="551"/>
      <c r="J1196" s="552"/>
      <c r="K1196" s="33"/>
      <c r="L1196" s="145"/>
    </row>
    <row r="1197" spans="5:12" s="15" customFormat="1" ht="12.75" customHeight="1" x14ac:dyDescent="0.2">
      <c r="E1197" s="27"/>
      <c r="F1197" s="27"/>
      <c r="G1197" s="141"/>
      <c r="H1197" s="141"/>
      <c r="I1197" s="551"/>
      <c r="J1197" s="552"/>
      <c r="K1197" s="33"/>
      <c r="L1197" s="145"/>
    </row>
    <row r="1198" spans="5:12" s="15" customFormat="1" ht="12.75" customHeight="1" x14ac:dyDescent="0.2">
      <c r="E1198" s="27"/>
      <c r="F1198" s="27"/>
      <c r="G1198" s="141"/>
      <c r="H1198" s="141"/>
      <c r="I1198" s="551"/>
      <c r="J1198" s="552"/>
      <c r="K1198" s="33"/>
      <c r="L1198" s="145"/>
    </row>
    <row r="1199" spans="5:12" s="15" customFormat="1" ht="12.75" customHeight="1" x14ac:dyDescent="0.2">
      <c r="E1199" s="27"/>
      <c r="F1199" s="27"/>
      <c r="G1199" s="141"/>
      <c r="H1199" s="141"/>
      <c r="I1199" s="551"/>
      <c r="J1199" s="552"/>
      <c r="K1199" s="33"/>
      <c r="L1199" s="145"/>
    </row>
    <row r="1200" spans="5:12" s="15" customFormat="1" ht="12.75" customHeight="1" x14ac:dyDescent="0.2">
      <c r="E1200" s="27"/>
      <c r="F1200" s="27"/>
      <c r="G1200" s="141"/>
      <c r="H1200" s="141"/>
      <c r="I1200" s="551"/>
      <c r="J1200" s="552"/>
      <c r="K1200" s="33"/>
      <c r="L1200" s="145"/>
    </row>
    <row r="1201" spans="5:12" s="15" customFormat="1" ht="12.75" customHeight="1" x14ac:dyDescent="0.2">
      <c r="E1201" s="27"/>
      <c r="F1201" s="27"/>
      <c r="G1201" s="141"/>
      <c r="H1201" s="141"/>
      <c r="I1201" s="551"/>
      <c r="J1201" s="552"/>
      <c r="K1201" s="33"/>
      <c r="L1201" s="145"/>
    </row>
    <row r="1202" spans="5:12" s="15" customFormat="1" ht="12.75" customHeight="1" x14ac:dyDescent="0.2">
      <c r="E1202" s="27"/>
      <c r="F1202" s="27"/>
      <c r="G1202" s="141"/>
      <c r="H1202" s="141"/>
      <c r="I1202" s="551"/>
      <c r="J1202" s="552"/>
      <c r="K1202" s="33"/>
      <c r="L1202" s="145"/>
    </row>
    <row r="1203" spans="5:12" s="15" customFormat="1" ht="12.75" customHeight="1" x14ac:dyDescent="0.2">
      <c r="E1203" s="27"/>
      <c r="F1203" s="27"/>
      <c r="G1203" s="141"/>
      <c r="H1203" s="141"/>
      <c r="I1203" s="551"/>
      <c r="J1203" s="552"/>
      <c r="K1203" s="33"/>
      <c r="L1203" s="145"/>
    </row>
    <row r="1204" spans="5:12" s="15" customFormat="1" ht="12.75" customHeight="1" x14ac:dyDescent="0.2">
      <c r="E1204" s="27"/>
      <c r="F1204" s="27"/>
      <c r="G1204" s="141"/>
      <c r="H1204" s="141"/>
      <c r="I1204" s="551"/>
      <c r="J1204" s="552"/>
      <c r="K1204" s="33"/>
      <c r="L1204" s="145"/>
    </row>
    <row r="1205" spans="5:12" s="15" customFormat="1" ht="12.75" customHeight="1" x14ac:dyDescent="0.2">
      <c r="E1205" s="27"/>
      <c r="F1205" s="27"/>
      <c r="G1205" s="141"/>
      <c r="H1205" s="141"/>
      <c r="I1205" s="551"/>
      <c r="J1205" s="552"/>
      <c r="K1205" s="33"/>
      <c r="L1205" s="145"/>
    </row>
    <row r="1206" spans="5:12" s="15" customFormat="1" ht="12.75" customHeight="1" x14ac:dyDescent="0.2">
      <c r="E1206" s="27"/>
      <c r="F1206" s="27"/>
      <c r="G1206" s="141"/>
      <c r="H1206" s="141"/>
      <c r="I1206" s="551"/>
      <c r="J1206" s="552"/>
      <c r="K1206" s="33"/>
      <c r="L1206" s="145"/>
    </row>
    <row r="1207" spans="5:12" s="15" customFormat="1" ht="12.75" customHeight="1" x14ac:dyDescent="0.2">
      <c r="E1207" s="27"/>
      <c r="F1207" s="27"/>
      <c r="G1207" s="141"/>
      <c r="H1207" s="141"/>
      <c r="I1207" s="551"/>
      <c r="J1207" s="552"/>
      <c r="K1207" s="33"/>
      <c r="L1207" s="145"/>
    </row>
    <row r="1208" spans="5:12" s="15" customFormat="1" ht="12.75" customHeight="1" x14ac:dyDescent="0.2">
      <c r="E1208" s="27"/>
      <c r="F1208" s="27"/>
      <c r="G1208" s="141"/>
      <c r="H1208" s="141"/>
      <c r="I1208" s="551"/>
      <c r="J1208" s="552"/>
      <c r="K1208" s="33"/>
      <c r="L1208" s="145"/>
    </row>
    <row r="1209" spans="5:12" s="15" customFormat="1" ht="12.75" customHeight="1" x14ac:dyDescent="0.2">
      <c r="E1209" s="27"/>
      <c r="F1209" s="27"/>
      <c r="G1209" s="141"/>
      <c r="H1209" s="141"/>
      <c r="I1209" s="551"/>
      <c r="J1209" s="552"/>
      <c r="K1209" s="33"/>
      <c r="L1209" s="145"/>
    </row>
    <row r="1210" spans="5:12" s="15" customFormat="1" ht="12.75" customHeight="1" x14ac:dyDescent="0.2">
      <c r="E1210" s="27"/>
      <c r="F1210" s="27"/>
      <c r="G1210" s="141"/>
      <c r="H1210" s="141"/>
      <c r="I1210" s="551"/>
      <c r="J1210" s="552"/>
      <c r="K1210" s="33"/>
      <c r="L1210" s="145"/>
    </row>
    <row r="1211" spans="5:12" s="15" customFormat="1" ht="12.75" customHeight="1" x14ac:dyDescent="0.2">
      <c r="E1211" s="27"/>
      <c r="F1211" s="27"/>
      <c r="G1211" s="141"/>
      <c r="H1211" s="141"/>
      <c r="I1211" s="551"/>
      <c r="J1211" s="552"/>
      <c r="K1211" s="33"/>
      <c r="L1211" s="145"/>
    </row>
    <row r="1212" spans="5:12" s="15" customFormat="1" ht="12.75" customHeight="1" x14ac:dyDescent="0.2">
      <c r="E1212" s="27"/>
      <c r="F1212" s="27"/>
      <c r="G1212" s="141"/>
      <c r="H1212" s="141"/>
      <c r="I1212" s="551"/>
      <c r="J1212" s="552"/>
      <c r="K1212" s="33"/>
      <c r="L1212" s="145"/>
    </row>
    <row r="1213" spans="5:12" s="15" customFormat="1" ht="12.75" customHeight="1" x14ac:dyDescent="0.2">
      <c r="E1213" s="27"/>
      <c r="F1213" s="27"/>
      <c r="G1213" s="141"/>
      <c r="H1213" s="141"/>
      <c r="I1213" s="551"/>
      <c r="J1213" s="552"/>
      <c r="K1213" s="33"/>
      <c r="L1213" s="145"/>
    </row>
    <row r="1214" spans="5:12" s="15" customFormat="1" ht="12.75" customHeight="1" x14ac:dyDescent="0.2">
      <c r="E1214" s="27"/>
      <c r="F1214" s="27"/>
      <c r="G1214" s="141"/>
      <c r="H1214" s="141"/>
      <c r="I1214" s="551"/>
      <c r="J1214" s="552"/>
      <c r="K1214" s="33"/>
      <c r="L1214" s="145"/>
    </row>
    <row r="1215" spans="5:12" s="15" customFormat="1" ht="12.75" customHeight="1" x14ac:dyDescent="0.2">
      <c r="E1215" s="27"/>
      <c r="F1215" s="27"/>
      <c r="G1215" s="141"/>
      <c r="H1215" s="141"/>
      <c r="I1215" s="551"/>
      <c r="J1215" s="552"/>
      <c r="K1215" s="33"/>
      <c r="L1215" s="145"/>
    </row>
    <row r="1216" spans="5:12" s="15" customFormat="1" ht="12.75" customHeight="1" x14ac:dyDescent="0.2">
      <c r="E1216" s="27"/>
      <c r="F1216" s="27"/>
      <c r="G1216" s="141"/>
      <c r="H1216" s="141"/>
      <c r="I1216" s="551"/>
      <c r="J1216" s="552"/>
      <c r="K1216" s="33"/>
      <c r="L1216" s="145"/>
    </row>
    <row r="1217" spans="5:12" s="15" customFormat="1" ht="12.75" customHeight="1" x14ac:dyDescent="0.2">
      <c r="E1217" s="27"/>
      <c r="F1217" s="27"/>
      <c r="G1217" s="141"/>
      <c r="H1217" s="141"/>
      <c r="I1217" s="551"/>
      <c r="J1217" s="552"/>
      <c r="K1217" s="33"/>
      <c r="L1217" s="145"/>
    </row>
    <row r="1218" spans="5:12" s="15" customFormat="1" ht="12.75" customHeight="1" x14ac:dyDescent="0.2">
      <c r="E1218" s="27"/>
      <c r="F1218" s="27"/>
      <c r="G1218" s="141"/>
      <c r="H1218" s="141"/>
      <c r="I1218" s="551"/>
      <c r="J1218" s="552"/>
      <c r="K1218" s="33"/>
      <c r="L1218" s="145"/>
    </row>
    <row r="1219" spans="5:12" s="15" customFormat="1" ht="12.75" customHeight="1" x14ac:dyDescent="0.2">
      <c r="E1219" s="27"/>
      <c r="F1219" s="27"/>
      <c r="G1219" s="141"/>
      <c r="H1219" s="141"/>
      <c r="I1219" s="551"/>
      <c r="J1219" s="552"/>
      <c r="K1219" s="33"/>
      <c r="L1219" s="145"/>
    </row>
    <row r="1220" spans="5:12" s="15" customFormat="1" ht="12.75" customHeight="1" x14ac:dyDescent="0.2">
      <c r="E1220" s="27"/>
      <c r="F1220" s="27"/>
      <c r="G1220" s="141"/>
      <c r="H1220" s="141"/>
      <c r="I1220" s="551"/>
      <c r="J1220" s="552"/>
      <c r="K1220" s="33"/>
      <c r="L1220" s="145"/>
    </row>
    <row r="1221" spans="5:12" s="15" customFormat="1" ht="12.75" customHeight="1" x14ac:dyDescent="0.2">
      <c r="E1221" s="27"/>
      <c r="F1221" s="27"/>
      <c r="G1221" s="141"/>
      <c r="H1221" s="141"/>
      <c r="I1221" s="551"/>
      <c r="J1221" s="552"/>
      <c r="K1221" s="33"/>
      <c r="L1221" s="145"/>
    </row>
    <row r="1222" spans="5:12" s="15" customFormat="1" ht="12.75" customHeight="1" x14ac:dyDescent="0.2">
      <c r="E1222" s="27"/>
      <c r="F1222" s="27"/>
      <c r="G1222" s="141"/>
      <c r="H1222" s="141"/>
      <c r="I1222" s="551"/>
      <c r="J1222" s="552"/>
      <c r="K1222" s="33"/>
      <c r="L1222" s="145"/>
    </row>
    <row r="1223" spans="5:12" s="15" customFormat="1" ht="12.75" customHeight="1" x14ac:dyDescent="0.2">
      <c r="E1223" s="27"/>
      <c r="F1223" s="27"/>
      <c r="G1223" s="141"/>
      <c r="H1223" s="141"/>
      <c r="I1223" s="551"/>
      <c r="J1223" s="552"/>
      <c r="K1223" s="33"/>
      <c r="L1223" s="145"/>
    </row>
    <row r="1224" spans="5:12" s="15" customFormat="1" ht="12.75" customHeight="1" x14ac:dyDescent="0.2">
      <c r="E1224" s="27"/>
      <c r="F1224" s="27"/>
      <c r="G1224" s="141"/>
      <c r="H1224" s="141"/>
      <c r="I1224" s="551"/>
      <c r="J1224" s="552"/>
      <c r="K1224" s="33"/>
      <c r="L1224" s="145"/>
    </row>
    <row r="1225" spans="5:12" s="15" customFormat="1" ht="12.75" customHeight="1" x14ac:dyDescent="0.2">
      <c r="E1225" s="27"/>
      <c r="F1225" s="27"/>
      <c r="G1225" s="141"/>
      <c r="H1225" s="141"/>
      <c r="I1225" s="551"/>
      <c r="J1225" s="552"/>
      <c r="K1225" s="33"/>
      <c r="L1225" s="145"/>
    </row>
    <row r="1226" spans="5:12" s="15" customFormat="1" ht="12.75" customHeight="1" x14ac:dyDescent="0.2">
      <c r="E1226" s="27"/>
      <c r="F1226" s="27"/>
      <c r="G1226" s="141"/>
      <c r="H1226" s="141"/>
      <c r="I1226" s="551"/>
      <c r="J1226" s="552"/>
      <c r="K1226" s="33"/>
      <c r="L1226" s="145"/>
    </row>
    <row r="1227" spans="5:12" s="15" customFormat="1" ht="12.75" customHeight="1" x14ac:dyDescent="0.2">
      <c r="E1227" s="27"/>
      <c r="F1227" s="27"/>
      <c r="G1227" s="141"/>
      <c r="H1227" s="141"/>
      <c r="I1227" s="551"/>
      <c r="J1227" s="552"/>
      <c r="K1227" s="33"/>
      <c r="L1227" s="145"/>
    </row>
    <row r="1228" spans="5:12" s="15" customFormat="1" ht="12.75" customHeight="1" x14ac:dyDescent="0.2">
      <c r="E1228" s="27"/>
      <c r="F1228" s="27"/>
      <c r="G1228" s="141"/>
      <c r="H1228" s="141"/>
      <c r="I1228" s="551"/>
      <c r="J1228" s="552"/>
      <c r="K1228" s="33"/>
      <c r="L1228" s="145"/>
    </row>
    <row r="1229" spans="5:12" s="15" customFormat="1" ht="12.75" customHeight="1" x14ac:dyDescent="0.2">
      <c r="E1229" s="27"/>
      <c r="F1229" s="27"/>
      <c r="G1229" s="141"/>
      <c r="H1229" s="141"/>
      <c r="I1229" s="551"/>
      <c r="J1229" s="552"/>
      <c r="K1229" s="33"/>
      <c r="L1229" s="145"/>
    </row>
    <row r="1230" spans="5:12" s="15" customFormat="1" ht="12.75" customHeight="1" x14ac:dyDescent="0.2">
      <c r="E1230" s="27"/>
      <c r="F1230" s="27"/>
      <c r="G1230" s="141"/>
      <c r="H1230" s="141"/>
      <c r="I1230" s="551"/>
      <c r="J1230" s="552"/>
      <c r="K1230" s="33"/>
      <c r="L1230" s="145"/>
    </row>
    <row r="1231" spans="5:12" s="15" customFormat="1" ht="12.75" customHeight="1" x14ac:dyDescent="0.2">
      <c r="E1231" s="27"/>
      <c r="F1231" s="27"/>
      <c r="G1231" s="141"/>
      <c r="H1231" s="141"/>
      <c r="I1231" s="551"/>
      <c r="J1231" s="552"/>
      <c r="K1231" s="33"/>
      <c r="L1231" s="145"/>
    </row>
    <row r="1232" spans="5:12" s="15" customFormat="1" ht="12.75" customHeight="1" x14ac:dyDescent="0.2">
      <c r="E1232" s="27"/>
      <c r="F1232" s="27"/>
      <c r="G1232" s="141"/>
      <c r="H1232" s="141"/>
      <c r="I1232" s="551"/>
      <c r="J1232" s="552"/>
      <c r="K1232" s="33"/>
      <c r="L1232" s="145"/>
    </row>
    <row r="1233" spans="5:12" s="15" customFormat="1" ht="12.75" customHeight="1" x14ac:dyDescent="0.2">
      <c r="E1233" s="27"/>
      <c r="F1233" s="27"/>
      <c r="G1233" s="141"/>
      <c r="H1233" s="141"/>
      <c r="I1233" s="551"/>
      <c r="J1233" s="552"/>
      <c r="K1233" s="33"/>
      <c r="L1233" s="145"/>
    </row>
    <row r="1234" spans="5:12" s="15" customFormat="1" ht="12.75" customHeight="1" x14ac:dyDescent="0.2">
      <c r="E1234" s="27"/>
      <c r="F1234" s="27"/>
      <c r="G1234" s="141"/>
      <c r="H1234" s="141"/>
      <c r="I1234" s="551"/>
      <c r="J1234" s="552"/>
      <c r="K1234" s="33"/>
      <c r="L1234" s="145"/>
    </row>
    <row r="1235" spans="5:12" s="15" customFormat="1" ht="12.75" customHeight="1" x14ac:dyDescent="0.2">
      <c r="E1235" s="27"/>
      <c r="F1235" s="27"/>
      <c r="G1235" s="141"/>
      <c r="H1235" s="141"/>
      <c r="I1235" s="551"/>
      <c r="J1235" s="552"/>
      <c r="K1235" s="33"/>
      <c r="L1235" s="145"/>
    </row>
    <row r="1236" spans="5:12" s="15" customFormat="1" ht="12.75" customHeight="1" x14ac:dyDescent="0.2">
      <c r="E1236" s="27"/>
      <c r="F1236" s="27"/>
      <c r="G1236" s="141"/>
      <c r="H1236" s="141"/>
      <c r="I1236" s="551"/>
      <c r="J1236" s="552"/>
      <c r="K1236" s="33"/>
      <c r="L1236" s="145"/>
    </row>
    <row r="1237" spans="5:12" s="15" customFormat="1" ht="12.75" customHeight="1" x14ac:dyDescent="0.2">
      <c r="E1237" s="27"/>
      <c r="F1237" s="27"/>
      <c r="G1237" s="141"/>
      <c r="H1237" s="141"/>
      <c r="I1237" s="551"/>
      <c r="J1237" s="552"/>
      <c r="K1237" s="33"/>
      <c r="L1237" s="145"/>
    </row>
    <row r="1238" spans="5:12" s="15" customFormat="1" ht="12.75" customHeight="1" x14ac:dyDescent="0.2">
      <c r="E1238" s="27"/>
      <c r="F1238" s="27"/>
      <c r="G1238" s="141"/>
      <c r="H1238" s="141"/>
      <c r="I1238" s="551"/>
      <c r="J1238" s="552"/>
      <c r="K1238" s="33"/>
      <c r="L1238" s="145"/>
    </row>
    <row r="1239" spans="5:12" s="15" customFormat="1" ht="12.75" customHeight="1" x14ac:dyDescent="0.2">
      <c r="E1239" s="27"/>
      <c r="F1239" s="27"/>
      <c r="G1239" s="141"/>
      <c r="H1239" s="141"/>
      <c r="I1239" s="551"/>
      <c r="J1239" s="552"/>
      <c r="K1239" s="33"/>
      <c r="L1239" s="145"/>
    </row>
    <row r="1240" spans="5:12" s="15" customFormat="1" ht="12.75" customHeight="1" x14ac:dyDescent="0.2">
      <c r="E1240" s="27"/>
      <c r="F1240" s="27"/>
      <c r="G1240" s="141"/>
      <c r="H1240" s="141"/>
      <c r="I1240" s="551"/>
      <c r="J1240" s="552"/>
      <c r="K1240" s="33"/>
      <c r="L1240" s="145"/>
    </row>
    <row r="1241" spans="5:12" s="15" customFormat="1" ht="12.75" customHeight="1" x14ac:dyDescent="0.2">
      <c r="E1241" s="27"/>
      <c r="F1241" s="27"/>
      <c r="G1241" s="141"/>
      <c r="H1241" s="141"/>
      <c r="I1241" s="551"/>
      <c r="J1241" s="552"/>
      <c r="K1241" s="33"/>
      <c r="L1241" s="145"/>
    </row>
    <row r="1242" spans="5:12" s="15" customFormat="1" ht="12.75" customHeight="1" x14ac:dyDescent="0.2">
      <c r="E1242" s="27"/>
      <c r="F1242" s="27"/>
      <c r="G1242" s="141"/>
      <c r="H1242" s="141"/>
      <c r="I1242" s="551"/>
      <c r="J1242" s="552"/>
      <c r="K1242" s="33"/>
      <c r="L1242" s="145"/>
    </row>
    <row r="1243" spans="5:12" s="15" customFormat="1" ht="12.75" customHeight="1" x14ac:dyDescent="0.2">
      <c r="E1243" s="27"/>
      <c r="F1243" s="27"/>
      <c r="G1243" s="141"/>
      <c r="H1243" s="141"/>
      <c r="I1243" s="551"/>
      <c r="J1243" s="552"/>
      <c r="K1243" s="33"/>
      <c r="L1243" s="145"/>
    </row>
    <row r="1244" spans="5:12" s="15" customFormat="1" ht="12.75" customHeight="1" x14ac:dyDescent="0.2">
      <c r="E1244" s="27"/>
      <c r="F1244" s="27"/>
      <c r="G1244" s="141"/>
      <c r="H1244" s="141"/>
      <c r="I1244" s="551"/>
      <c r="J1244" s="552"/>
      <c r="K1244" s="33"/>
      <c r="L1244" s="145"/>
    </row>
    <row r="1245" spans="5:12" s="15" customFormat="1" ht="12.75" customHeight="1" x14ac:dyDescent="0.2">
      <c r="E1245" s="27"/>
      <c r="F1245" s="27"/>
      <c r="G1245" s="141"/>
      <c r="H1245" s="141"/>
      <c r="I1245" s="551"/>
      <c r="J1245" s="552"/>
      <c r="K1245" s="33"/>
      <c r="L1245" s="145"/>
    </row>
    <row r="1246" spans="5:12" s="15" customFormat="1" ht="12.75" customHeight="1" x14ac:dyDescent="0.2">
      <c r="E1246" s="27"/>
      <c r="F1246" s="27"/>
      <c r="G1246" s="141"/>
      <c r="H1246" s="141"/>
      <c r="I1246" s="551"/>
      <c r="J1246" s="552"/>
      <c r="K1246" s="33"/>
      <c r="L1246" s="145"/>
    </row>
    <row r="1247" spans="5:12" s="15" customFormat="1" ht="12.75" customHeight="1" x14ac:dyDescent="0.2">
      <c r="E1247" s="27"/>
      <c r="F1247" s="27"/>
      <c r="G1247" s="141"/>
      <c r="H1247" s="141"/>
      <c r="I1247" s="551"/>
      <c r="J1247" s="552"/>
      <c r="K1247" s="33"/>
      <c r="L1247" s="145"/>
    </row>
    <row r="1248" spans="5:12" s="15" customFormat="1" ht="12.75" customHeight="1" x14ac:dyDescent="0.2">
      <c r="E1248" s="27"/>
      <c r="F1248" s="27"/>
      <c r="G1248" s="141"/>
      <c r="H1248" s="141"/>
      <c r="I1248" s="551"/>
      <c r="J1248" s="552"/>
      <c r="K1248" s="33"/>
      <c r="L1248" s="145"/>
    </row>
    <row r="1249" spans="5:12" s="15" customFormat="1" ht="12.75" customHeight="1" x14ac:dyDescent="0.2">
      <c r="E1249" s="27"/>
      <c r="F1249" s="27"/>
      <c r="G1249" s="141"/>
      <c r="H1249" s="141"/>
      <c r="I1249" s="551"/>
      <c r="J1249" s="552"/>
      <c r="K1249" s="33"/>
      <c r="L1249" s="145"/>
    </row>
    <row r="1250" spans="5:12" s="15" customFormat="1" ht="12.75" customHeight="1" x14ac:dyDescent="0.2">
      <c r="E1250" s="27"/>
      <c r="F1250" s="27"/>
      <c r="G1250" s="141"/>
      <c r="H1250" s="141"/>
      <c r="I1250" s="551"/>
      <c r="J1250" s="552"/>
      <c r="K1250" s="33"/>
      <c r="L1250" s="145"/>
    </row>
    <row r="1251" spans="5:12" s="15" customFormat="1" ht="12.75" customHeight="1" x14ac:dyDescent="0.2">
      <c r="E1251" s="27"/>
      <c r="F1251" s="27"/>
      <c r="G1251" s="141"/>
      <c r="H1251" s="141"/>
      <c r="I1251" s="551"/>
      <c r="J1251" s="552"/>
      <c r="K1251" s="33"/>
      <c r="L1251" s="145"/>
    </row>
    <row r="1252" spans="5:12" s="15" customFormat="1" ht="12.75" customHeight="1" x14ac:dyDescent="0.2">
      <c r="E1252" s="27"/>
      <c r="F1252" s="27"/>
      <c r="G1252" s="141"/>
      <c r="H1252" s="141"/>
      <c r="I1252" s="551"/>
      <c r="J1252" s="552"/>
      <c r="K1252" s="33"/>
      <c r="L1252" s="145"/>
    </row>
    <row r="1253" spans="5:12" s="15" customFormat="1" ht="12.75" customHeight="1" x14ac:dyDescent="0.2">
      <c r="E1253" s="27"/>
      <c r="F1253" s="27"/>
      <c r="G1253" s="141"/>
      <c r="H1253" s="141"/>
      <c r="I1253" s="551"/>
      <c r="J1253" s="552"/>
      <c r="K1253" s="33"/>
      <c r="L1253" s="145"/>
    </row>
    <row r="1254" spans="5:12" s="15" customFormat="1" ht="12.75" customHeight="1" x14ac:dyDescent="0.2">
      <c r="E1254" s="27"/>
      <c r="F1254" s="27"/>
      <c r="G1254" s="141"/>
      <c r="H1254" s="141"/>
      <c r="I1254" s="551"/>
      <c r="J1254" s="552"/>
      <c r="K1254" s="33"/>
      <c r="L1254" s="145"/>
    </row>
    <row r="1255" spans="5:12" s="15" customFormat="1" ht="12.75" customHeight="1" x14ac:dyDescent="0.2">
      <c r="E1255" s="27"/>
      <c r="F1255" s="27"/>
      <c r="G1255" s="141"/>
      <c r="H1255" s="141"/>
      <c r="I1255" s="551"/>
      <c r="J1255" s="552"/>
      <c r="K1255" s="33"/>
      <c r="L1255" s="145"/>
    </row>
    <row r="1256" spans="5:12" s="15" customFormat="1" ht="12.75" customHeight="1" x14ac:dyDescent="0.2">
      <c r="E1256" s="27"/>
      <c r="F1256" s="27"/>
      <c r="G1256" s="141"/>
      <c r="H1256" s="141"/>
      <c r="I1256" s="551"/>
      <c r="J1256" s="552"/>
      <c r="K1256" s="33"/>
      <c r="L1256" s="145"/>
    </row>
    <row r="1257" spans="5:12" s="15" customFormat="1" ht="12.75" customHeight="1" x14ac:dyDescent="0.2">
      <c r="E1257" s="27"/>
      <c r="F1257" s="27"/>
      <c r="G1257" s="141"/>
      <c r="H1257" s="141"/>
      <c r="I1257" s="551"/>
      <c r="J1257" s="552"/>
      <c r="K1257" s="33"/>
      <c r="L1257" s="145"/>
    </row>
    <row r="1258" spans="5:12" s="15" customFormat="1" ht="12.75" customHeight="1" x14ac:dyDescent="0.2">
      <c r="E1258" s="27"/>
      <c r="F1258" s="27"/>
      <c r="G1258" s="141"/>
      <c r="H1258" s="141"/>
      <c r="I1258" s="551"/>
      <c r="J1258" s="552"/>
      <c r="K1258" s="33"/>
      <c r="L1258" s="145"/>
    </row>
    <row r="1259" spans="5:12" s="15" customFormat="1" ht="12.75" customHeight="1" x14ac:dyDescent="0.2">
      <c r="E1259" s="27"/>
      <c r="F1259" s="27"/>
      <c r="G1259" s="141"/>
      <c r="H1259" s="141"/>
      <c r="I1259" s="551"/>
      <c r="J1259" s="552"/>
      <c r="K1259" s="33"/>
      <c r="L1259" s="145"/>
    </row>
    <row r="1260" spans="5:12" s="15" customFormat="1" ht="12.75" customHeight="1" x14ac:dyDescent="0.2">
      <c r="E1260" s="27"/>
      <c r="F1260" s="27"/>
      <c r="G1260" s="141"/>
      <c r="H1260" s="141"/>
      <c r="I1260" s="551"/>
      <c r="J1260" s="552"/>
      <c r="K1260" s="33"/>
      <c r="L1260" s="145"/>
    </row>
    <row r="1261" spans="5:12" s="15" customFormat="1" ht="12.75" customHeight="1" x14ac:dyDescent="0.2">
      <c r="E1261" s="27"/>
      <c r="F1261" s="27"/>
      <c r="G1261" s="141"/>
      <c r="H1261" s="141"/>
      <c r="I1261" s="551"/>
      <c r="J1261" s="552"/>
      <c r="K1261" s="33"/>
      <c r="L1261" s="145"/>
    </row>
    <row r="1262" spans="5:12" s="15" customFormat="1" ht="12.75" customHeight="1" x14ac:dyDescent="0.2">
      <c r="E1262" s="27"/>
      <c r="F1262" s="27"/>
      <c r="G1262" s="141"/>
      <c r="H1262" s="141"/>
      <c r="I1262" s="551"/>
      <c r="J1262" s="552"/>
      <c r="K1262" s="33"/>
      <c r="L1262" s="145"/>
    </row>
    <row r="1263" spans="5:12" s="15" customFormat="1" ht="12.75" customHeight="1" x14ac:dyDescent="0.2">
      <c r="E1263" s="27"/>
      <c r="F1263" s="27"/>
      <c r="G1263" s="141"/>
      <c r="H1263" s="141"/>
      <c r="I1263" s="551"/>
      <c r="J1263" s="552"/>
      <c r="K1263" s="33"/>
      <c r="L1263" s="145"/>
    </row>
    <row r="1264" spans="5:12" s="15" customFormat="1" ht="12.75" customHeight="1" x14ac:dyDescent="0.2">
      <c r="E1264" s="27"/>
      <c r="F1264" s="27"/>
      <c r="G1264" s="141"/>
      <c r="H1264" s="141"/>
      <c r="I1264" s="551"/>
      <c r="J1264" s="552"/>
      <c r="K1264" s="33"/>
      <c r="L1264" s="145"/>
    </row>
    <row r="1265" spans="5:12" s="15" customFormat="1" ht="12.75" customHeight="1" x14ac:dyDescent="0.2">
      <c r="E1265" s="27"/>
      <c r="F1265" s="27"/>
      <c r="G1265" s="141"/>
      <c r="H1265" s="141"/>
      <c r="I1265" s="551"/>
      <c r="J1265" s="552"/>
      <c r="K1265" s="33"/>
      <c r="L1265" s="145"/>
    </row>
    <row r="1266" spans="5:12" s="15" customFormat="1" ht="12.75" customHeight="1" x14ac:dyDescent="0.2">
      <c r="E1266" s="27"/>
      <c r="F1266" s="27"/>
      <c r="G1266" s="141"/>
      <c r="H1266" s="141"/>
      <c r="I1266" s="551"/>
      <c r="J1266" s="552"/>
      <c r="K1266" s="33"/>
      <c r="L1266" s="145"/>
    </row>
    <row r="1267" spans="5:12" s="15" customFormat="1" ht="12.75" customHeight="1" x14ac:dyDescent="0.2">
      <c r="E1267" s="27"/>
      <c r="F1267" s="27"/>
      <c r="G1267" s="141"/>
      <c r="H1267" s="141"/>
      <c r="I1267" s="551"/>
      <c r="J1267" s="552"/>
      <c r="K1267" s="33"/>
      <c r="L1267" s="145"/>
    </row>
    <row r="1268" spans="5:12" s="15" customFormat="1" ht="12.75" customHeight="1" x14ac:dyDescent="0.2">
      <c r="E1268" s="27"/>
      <c r="F1268" s="27"/>
      <c r="G1268" s="141"/>
      <c r="H1268" s="141"/>
      <c r="I1268" s="551"/>
      <c r="J1268" s="552"/>
      <c r="K1268" s="33"/>
      <c r="L1268" s="145"/>
    </row>
    <row r="1269" spans="5:12" s="15" customFormat="1" ht="12.75" customHeight="1" x14ac:dyDescent="0.2">
      <c r="E1269" s="27"/>
      <c r="F1269" s="27"/>
      <c r="G1269" s="141"/>
      <c r="H1269" s="141"/>
      <c r="I1269" s="551"/>
      <c r="J1269" s="552"/>
      <c r="K1269" s="33"/>
      <c r="L1269" s="145"/>
    </row>
    <row r="1270" spans="5:12" s="15" customFormat="1" ht="12.75" customHeight="1" x14ac:dyDescent="0.2">
      <c r="E1270" s="27"/>
      <c r="F1270" s="27"/>
      <c r="G1270" s="141"/>
      <c r="H1270" s="141"/>
      <c r="I1270" s="551"/>
      <c r="J1270" s="552"/>
      <c r="K1270" s="33"/>
      <c r="L1270" s="145"/>
    </row>
    <row r="1271" spans="5:12" s="15" customFormat="1" ht="12.75" customHeight="1" x14ac:dyDescent="0.2">
      <c r="E1271" s="27"/>
      <c r="F1271" s="27"/>
      <c r="G1271" s="141"/>
      <c r="H1271" s="141"/>
      <c r="I1271" s="551"/>
      <c r="J1271" s="552"/>
      <c r="K1271" s="33"/>
      <c r="L1271" s="145"/>
    </row>
    <row r="1272" spans="5:12" s="15" customFormat="1" ht="12.75" customHeight="1" x14ac:dyDescent="0.2">
      <c r="E1272" s="27"/>
      <c r="F1272" s="27"/>
      <c r="G1272" s="141"/>
      <c r="H1272" s="141"/>
      <c r="I1272" s="551"/>
      <c r="J1272" s="552"/>
      <c r="K1272" s="33"/>
      <c r="L1272" s="145"/>
    </row>
    <row r="1273" spans="5:12" s="15" customFormat="1" ht="12.75" customHeight="1" x14ac:dyDescent="0.2">
      <c r="E1273" s="27"/>
      <c r="F1273" s="27"/>
      <c r="G1273" s="141"/>
      <c r="H1273" s="141"/>
      <c r="I1273" s="551"/>
      <c r="J1273" s="552"/>
      <c r="K1273" s="33"/>
      <c r="L1273" s="145"/>
    </row>
    <row r="1274" spans="5:12" s="15" customFormat="1" ht="12.75" customHeight="1" x14ac:dyDescent="0.2">
      <c r="E1274" s="27"/>
      <c r="F1274" s="27"/>
      <c r="G1274" s="141"/>
      <c r="H1274" s="141"/>
      <c r="I1274" s="551"/>
      <c r="J1274" s="552"/>
      <c r="K1274" s="33"/>
      <c r="L1274" s="145"/>
    </row>
    <row r="1275" spans="5:12" s="15" customFormat="1" ht="12.75" customHeight="1" x14ac:dyDescent="0.2">
      <c r="E1275" s="27"/>
      <c r="F1275" s="27"/>
      <c r="G1275" s="141"/>
      <c r="H1275" s="141"/>
      <c r="I1275" s="551"/>
      <c r="J1275" s="552"/>
      <c r="K1275" s="33"/>
      <c r="L1275" s="145"/>
    </row>
    <row r="1276" spans="5:12" s="15" customFormat="1" ht="12.75" customHeight="1" x14ac:dyDescent="0.2">
      <c r="E1276" s="27"/>
      <c r="F1276" s="27"/>
      <c r="G1276" s="141"/>
      <c r="H1276" s="141"/>
      <c r="I1276" s="551"/>
      <c r="J1276" s="552"/>
      <c r="K1276" s="33"/>
      <c r="L1276" s="145"/>
    </row>
    <row r="1277" spans="5:12" s="15" customFormat="1" ht="12.75" customHeight="1" x14ac:dyDescent="0.2">
      <c r="E1277" s="27"/>
      <c r="F1277" s="27"/>
      <c r="G1277" s="141"/>
      <c r="H1277" s="141"/>
      <c r="I1277" s="551"/>
      <c r="J1277" s="552"/>
      <c r="K1277" s="33"/>
      <c r="L1277" s="145"/>
    </row>
    <row r="1278" spans="5:12" s="15" customFormat="1" ht="12.75" customHeight="1" x14ac:dyDescent="0.2">
      <c r="E1278" s="27"/>
      <c r="F1278" s="27"/>
      <c r="G1278" s="141"/>
      <c r="H1278" s="141"/>
      <c r="I1278" s="551"/>
      <c r="J1278" s="552"/>
      <c r="K1278" s="33"/>
      <c r="L1278" s="145"/>
    </row>
    <row r="1279" spans="5:12" s="15" customFormat="1" ht="12.75" customHeight="1" x14ac:dyDescent="0.2">
      <c r="E1279" s="27"/>
      <c r="F1279" s="27"/>
      <c r="G1279" s="141"/>
      <c r="H1279" s="141"/>
      <c r="I1279" s="551"/>
      <c r="J1279" s="552"/>
      <c r="K1279" s="33"/>
      <c r="L1279" s="145"/>
    </row>
    <row r="1280" spans="5:12" s="15" customFormat="1" ht="12.75" customHeight="1" x14ac:dyDescent="0.2">
      <c r="E1280" s="27"/>
      <c r="F1280" s="27"/>
      <c r="G1280" s="141"/>
      <c r="H1280" s="141"/>
      <c r="I1280" s="551"/>
      <c r="J1280" s="552"/>
      <c r="K1280" s="33"/>
      <c r="L1280" s="145"/>
    </row>
    <row r="1281" spans="5:12" s="15" customFormat="1" ht="12.75" customHeight="1" x14ac:dyDescent="0.2">
      <c r="E1281" s="27"/>
      <c r="F1281" s="27"/>
      <c r="G1281" s="141"/>
      <c r="H1281" s="141"/>
      <c r="I1281" s="551"/>
      <c r="J1281" s="552"/>
      <c r="K1281" s="33"/>
      <c r="L1281" s="145"/>
    </row>
    <row r="1282" spans="5:12" s="15" customFormat="1" ht="12.75" customHeight="1" x14ac:dyDescent="0.2">
      <c r="E1282" s="27"/>
      <c r="F1282" s="27"/>
      <c r="G1282" s="141"/>
      <c r="H1282" s="141"/>
      <c r="I1282" s="551"/>
      <c r="J1282" s="552"/>
      <c r="K1282" s="33"/>
      <c r="L1282" s="145"/>
    </row>
    <row r="1283" spans="5:12" s="15" customFormat="1" ht="12.75" customHeight="1" x14ac:dyDescent="0.2">
      <c r="E1283" s="27"/>
      <c r="F1283" s="27"/>
      <c r="G1283" s="141"/>
      <c r="H1283" s="141"/>
      <c r="I1283" s="551"/>
      <c r="J1283" s="552"/>
      <c r="K1283" s="33"/>
      <c r="L1283" s="145"/>
    </row>
    <row r="1284" spans="5:12" s="15" customFormat="1" ht="12.75" customHeight="1" x14ac:dyDescent="0.2">
      <c r="E1284" s="27"/>
      <c r="F1284" s="27"/>
      <c r="G1284" s="141"/>
      <c r="H1284" s="141"/>
      <c r="I1284" s="551"/>
      <c r="J1284" s="552"/>
      <c r="K1284" s="33"/>
      <c r="L1284" s="145"/>
    </row>
    <row r="1285" spans="5:12" s="15" customFormat="1" ht="12.75" customHeight="1" x14ac:dyDescent="0.2">
      <c r="E1285" s="27"/>
      <c r="F1285" s="27"/>
      <c r="G1285" s="141"/>
      <c r="H1285" s="141"/>
      <c r="I1285" s="551"/>
      <c r="J1285" s="552"/>
      <c r="K1285" s="33"/>
      <c r="L1285" s="145"/>
    </row>
    <row r="1286" spans="5:12" s="15" customFormat="1" ht="12.75" customHeight="1" x14ac:dyDescent="0.2">
      <c r="E1286" s="27"/>
      <c r="F1286" s="27"/>
      <c r="G1286" s="141"/>
      <c r="H1286" s="141"/>
      <c r="I1286" s="551"/>
      <c r="J1286" s="552"/>
      <c r="K1286" s="33"/>
      <c r="L1286" s="145"/>
    </row>
    <row r="1287" spans="5:12" s="15" customFormat="1" ht="12.75" customHeight="1" x14ac:dyDescent="0.2">
      <c r="E1287" s="27"/>
      <c r="F1287" s="27"/>
      <c r="G1287" s="141"/>
      <c r="H1287" s="141"/>
      <c r="I1287" s="551"/>
      <c r="J1287" s="552"/>
      <c r="K1287" s="33"/>
      <c r="L1287" s="145"/>
    </row>
    <row r="1288" spans="5:12" s="15" customFormat="1" ht="12.75" customHeight="1" x14ac:dyDescent="0.2">
      <c r="E1288" s="27"/>
      <c r="F1288" s="27"/>
      <c r="G1288" s="141"/>
      <c r="H1288" s="141"/>
      <c r="I1288" s="551"/>
      <c r="J1288" s="552"/>
      <c r="K1288" s="33"/>
      <c r="L1288" s="145"/>
    </row>
    <row r="1289" spans="5:12" s="15" customFormat="1" ht="12.75" customHeight="1" x14ac:dyDescent="0.2">
      <c r="E1289" s="27"/>
      <c r="F1289" s="27"/>
      <c r="G1289" s="141"/>
      <c r="H1289" s="141"/>
      <c r="I1289" s="551"/>
      <c r="J1289" s="552"/>
      <c r="K1289" s="33"/>
      <c r="L1289" s="145"/>
    </row>
    <row r="1290" spans="5:12" s="15" customFormat="1" ht="12.75" customHeight="1" x14ac:dyDescent="0.2">
      <c r="E1290" s="27"/>
      <c r="F1290" s="27"/>
      <c r="G1290" s="141"/>
      <c r="H1290" s="141"/>
      <c r="I1290" s="551"/>
      <c r="J1290" s="552"/>
      <c r="K1290" s="33"/>
      <c r="L1290" s="145"/>
    </row>
    <row r="1291" spans="5:12" s="15" customFormat="1" ht="12.75" customHeight="1" x14ac:dyDescent="0.2">
      <c r="E1291" s="27"/>
      <c r="F1291" s="27"/>
      <c r="G1291" s="141"/>
      <c r="H1291" s="141"/>
      <c r="I1291" s="551"/>
      <c r="J1291" s="552"/>
      <c r="K1291" s="33"/>
      <c r="L1291" s="145"/>
    </row>
    <row r="1292" spans="5:12" s="15" customFormat="1" ht="12.75" customHeight="1" x14ac:dyDescent="0.2">
      <c r="E1292" s="27"/>
      <c r="F1292" s="27"/>
      <c r="G1292" s="141"/>
      <c r="H1292" s="141"/>
      <c r="I1292" s="551"/>
      <c r="J1292" s="552"/>
      <c r="K1292" s="33"/>
      <c r="L1292" s="145"/>
    </row>
    <row r="1293" spans="5:12" s="15" customFormat="1" ht="12.75" customHeight="1" x14ac:dyDescent="0.2">
      <c r="E1293" s="27"/>
      <c r="F1293" s="27"/>
      <c r="G1293" s="141"/>
      <c r="H1293" s="141"/>
      <c r="I1293" s="551"/>
      <c r="J1293" s="552"/>
      <c r="K1293" s="33"/>
      <c r="L1293" s="145"/>
    </row>
    <row r="1294" spans="5:12" s="15" customFormat="1" ht="12.75" customHeight="1" x14ac:dyDescent="0.2">
      <c r="E1294" s="27"/>
      <c r="F1294" s="27"/>
      <c r="G1294" s="141"/>
      <c r="H1294" s="141"/>
      <c r="I1294" s="551"/>
      <c r="J1294" s="552"/>
      <c r="K1294" s="33"/>
      <c r="L1294" s="145"/>
    </row>
    <row r="1295" spans="5:12" s="15" customFormat="1" ht="12.75" customHeight="1" x14ac:dyDescent="0.2">
      <c r="E1295" s="27"/>
      <c r="F1295" s="27"/>
      <c r="G1295" s="141"/>
      <c r="H1295" s="141"/>
      <c r="I1295" s="551"/>
      <c r="J1295" s="552"/>
      <c r="K1295" s="33"/>
      <c r="L1295" s="145"/>
    </row>
    <row r="1296" spans="5:12" s="15" customFormat="1" ht="12.75" customHeight="1" x14ac:dyDescent="0.2">
      <c r="E1296" s="27"/>
      <c r="F1296" s="27"/>
      <c r="G1296" s="141"/>
      <c r="H1296" s="141"/>
      <c r="I1296" s="551"/>
      <c r="J1296" s="552"/>
      <c r="K1296" s="33"/>
      <c r="L1296" s="145"/>
    </row>
    <row r="1297" spans="5:12" s="15" customFormat="1" ht="12.75" customHeight="1" x14ac:dyDescent="0.2">
      <c r="E1297" s="27"/>
      <c r="F1297" s="27"/>
      <c r="G1297" s="141"/>
      <c r="H1297" s="141"/>
      <c r="I1297" s="551"/>
      <c r="J1297" s="552"/>
      <c r="K1297" s="33"/>
      <c r="L1297" s="145"/>
    </row>
    <row r="1298" spans="5:12" s="15" customFormat="1" ht="12.75" customHeight="1" x14ac:dyDescent="0.2">
      <c r="E1298" s="27"/>
      <c r="F1298" s="27"/>
      <c r="G1298" s="141"/>
      <c r="H1298" s="141"/>
      <c r="I1298" s="551"/>
      <c r="J1298" s="552"/>
      <c r="K1298" s="33"/>
      <c r="L1298" s="145"/>
    </row>
    <row r="1299" spans="5:12" s="15" customFormat="1" ht="12.75" customHeight="1" x14ac:dyDescent="0.2">
      <c r="E1299" s="27"/>
      <c r="F1299" s="27"/>
      <c r="G1299" s="141"/>
      <c r="H1299" s="141"/>
      <c r="I1299" s="551"/>
      <c r="J1299" s="552"/>
      <c r="K1299" s="33"/>
      <c r="L1299" s="145"/>
    </row>
    <row r="1300" spans="5:12" s="15" customFormat="1" ht="12.75" customHeight="1" x14ac:dyDescent="0.2">
      <c r="E1300" s="27"/>
      <c r="F1300" s="27"/>
      <c r="G1300" s="141"/>
      <c r="H1300" s="141"/>
      <c r="I1300" s="551"/>
      <c r="J1300" s="552"/>
      <c r="K1300" s="33"/>
      <c r="L1300" s="145"/>
    </row>
    <row r="1301" spans="5:12" s="15" customFormat="1" ht="12.75" customHeight="1" x14ac:dyDescent="0.2">
      <c r="E1301" s="27"/>
      <c r="F1301" s="27"/>
      <c r="G1301" s="141"/>
      <c r="H1301" s="141"/>
      <c r="I1301" s="551"/>
      <c r="J1301" s="552"/>
      <c r="K1301" s="33"/>
      <c r="L1301" s="145"/>
    </row>
    <row r="1302" spans="5:12" s="15" customFormat="1" ht="12.75" customHeight="1" x14ac:dyDescent="0.2">
      <c r="E1302" s="27"/>
      <c r="F1302" s="27"/>
      <c r="G1302" s="141"/>
      <c r="H1302" s="141"/>
      <c r="I1302" s="551"/>
      <c r="J1302" s="552"/>
      <c r="K1302" s="33"/>
      <c r="L1302" s="145"/>
    </row>
    <row r="1303" spans="5:12" s="15" customFormat="1" ht="12.75" customHeight="1" x14ac:dyDescent="0.2">
      <c r="E1303" s="27"/>
      <c r="F1303" s="27"/>
      <c r="G1303" s="141"/>
      <c r="H1303" s="141"/>
      <c r="I1303" s="551"/>
      <c r="J1303" s="552"/>
      <c r="K1303" s="33"/>
      <c r="L1303" s="145"/>
    </row>
    <row r="1304" spans="5:12" s="15" customFormat="1" ht="12.75" customHeight="1" x14ac:dyDescent="0.2">
      <c r="E1304" s="27"/>
      <c r="F1304" s="27"/>
      <c r="G1304" s="141"/>
      <c r="H1304" s="141"/>
      <c r="I1304" s="551"/>
      <c r="J1304" s="552"/>
      <c r="K1304" s="33"/>
      <c r="L1304" s="145"/>
    </row>
    <row r="1305" spans="5:12" s="15" customFormat="1" ht="12.75" customHeight="1" x14ac:dyDescent="0.2">
      <c r="E1305" s="27"/>
      <c r="F1305" s="27"/>
      <c r="G1305" s="141"/>
      <c r="H1305" s="141"/>
      <c r="I1305" s="551"/>
      <c r="J1305" s="552"/>
      <c r="K1305" s="33"/>
      <c r="L1305" s="145"/>
    </row>
    <row r="1306" spans="5:12" s="15" customFormat="1" ht="12.75" customHeight="1" x14ac:dyDescent="0.2">
      <c r="E1306" s="27"/>
      <c r="F1306" s="27"/>
      <c r="G1306" s="141"/>
      <c r="H1306" s="141"/>
      <c r="I1306" s="551"/>
      <c r="J1306" s="552"/>
      <c r="K1306" s="33"/>
      <c r="L1306" s="145"/>
    </row>
    <row r="1307" spans="5:12" s="15" customFormat="1" ht="12.75" customHeight="1" x14ac:dyDescent="0.2">
      <c r="E1307" s="27"/>
      <c r="F1307" s="27"/>
      <c r="G1307" s="141"/>
      <c r="H1307" s="141"/>
      <c r="I1307" s="551"/>
      <c r="J1307" s="552"/>
      <c r="K1307" s="33"/>
      <c r="L1307" s="145"/>
    </row>
    <row r="1308" spans="5:12" s="15" customFormat="1" ht="12.75" customHeight="1" x14ac:dyDescent="0.2">
      <c r="E1308" s="27"/>
      <c r="F1308" s="27"/>
      <c r="G1308" s="141"/>
      <c r="H1308" s="141"/>
      <c r="I1308" s="551"/>
      <c r="J1308" s="552"/>
      <c r="K1308" s="33"/>
      <c r="L1308" s="145"/>
    </row>
    <row r="1309" spans="5:12" s="15" customFormat="1" ht="12.75" customHeight="1" x14ac:dyDescent="0.2">
      <c r="E1309" s="27"/>
      <c r="F1309" s="27"/>
      <c r="G1309" s="141"/>
      <c r="H1309" s="141"/>
      <c r="I1309" s="551"/>
      <c r="J1309" s="552"/>
      <c r="K1309" s="33"/>
      <c r="L1309" s="145"/>
    </row>
    <row r="1310" spans="5:12" s="15" customFormat="1" ht="12.75" customHeight="1" x14ac:dyDescent="0.2">
      <c r="E1310" s="27"/>
      <c r="F1310" s="27"/>
      <c r="G1310" s="141"/>
      <c r="H1310" s="141"/>
      <c r="I1310" s="551"/>
      <c r="J1310" s="552"/>
      <c r="K1310" s="33"/>
      <c r="L1310" s="145"/>
    </row>
    <row r="1311" spans="5:12" s="15" customFormat="1" ht="12.75" customHeight="1" x14ac:dyDescent="0.2">
      <c r="E1311" s="27"/>
      <c r="F1311" s="27"/>
      <c r="G1311" s="141"/>
      <c r="H1311" s="141"/>
      <c r="I1311" s="551"/>
      <c r="J1311" s="552"/>
      <c r="K1311" s="33"/>
      <c r="L1311" s="145"/>
    </row>
    <row r="1312" spans="5:12" s="15" customFormat="1" ht="12.75" customHeight="1" x14ac:dyDescent="0.2">
      <c r="E1312" s="27"/>
      <c r="F1312" s="27"/>
      <c r="G1312" s="141"/>
      <c r="H1312" s="141"/>
      <c r="I1312" s="551"/>
      <c r="J1312" s="552"/>
      <c r="K1312" s="33"/>
      <c r="L1312" s="145"/>
    </row>
    <row r="1313" spans="5:12" s="15" customFormat="1" ht="12.75" customHeight="1" x14ac:dyDescent="0.2">
      <c r="E1313" s="27"/>
      <c r="F1313" s="27"/>
      <c r="G1313" s="141"/>
      <c r="H1313" s="141"/>
      <c r="I1313" s="551"/>
      <c r="J1313" s="552"/>
      <c r="K1313" s="33"/>
      <c r="L1313" s="145"/>
    </row>
    <row r="1314" spans="5:12" s="15" customFormat="1" ht="12.75" customHeight="1" x14ac:dyDescent="0.2">
      <c r="E1314" s="27"/>
      <c r="F1314" s="27"/>
      <c r="G1314" s="141"/>
      <c r="H1314" s="141"/>
      <c r="I1314" s="551"/>
      <c r="J1314" s="552"/>
      <c r="K1314" s="33"/>
      <c r="L1314" s="145"/>
    </row>
    <row r="1315" spans="5:12" s="15" customFormat="1" ht="12.75" customHeight="1" x14ac:dyDescent="0.2">
      <c r="E1315" s="27"/>
      <c r="F1315" s="27"/>
      <c r="G1315" s="141"/>
      <c r="H1315" s="141"/>
      <c r="I1315" s="551"/>
      <c r="J1315" s="552"/>
      <c r="K1315" s="33"/>
      <c r="L1315" s="145"/>
    </row>
    <row r="1316" spans="5:12" s="15" customFormat="1" ht="12.75" customHeight="1" x14ac:dyDescent="0.2">
      <c r="E1316" s="27"/>
      <c r="F1316" s="27"/>
      <c r="G1316" s="141"/>
      <c r="H1316" s="141"/>
      <c r="I1316" s="551"/>
      <c r="J1316" s="552"/>
      <c r="K1316" s="33"/>
      <c r="L1316" s="145"/>
    </row>
    <row r="1317" spans="5:12" s="15" customFormat="1" ht="12.75" customHeight="1" x14ac:dyDescent="0.2">
      <c r="E1317" s="27"/>
      <c r="F1317" s="27"/>
      <c r="G1317" s="141"/>
      <c r="H1317" s="141"/>
      <c r="I1317" s="551"/>
      <c r="J1317" s="552"/>
      <c r="K1317" s="33"/>
      <c r="L1317" s="145"/>
    </row>
    <row r="1318" spans="5:12" s="15" customFormat="1" ht="12.75" customHeight="1" x14ac:dyDescent="0.2">
      <c r="E1318" s="27"/>
      <c r="F1318" s="27"/>
      <c r="G1318" s="141"/>
      <c r="H1318" s="141"/>
      <c r="I1318" s="551"/>
      <c r="J1318" s="552"/>
      <c r="K1318" s="33"/>
      <c r="L1318" s="145"/>
    </row>
    <row r="1319" spans="5:12" s="15" customFormat="1" ht="12.75" customHeight="1" x14ac:dyDescent="0.2">
      <c r="E1319" s="27"/>
      <c r="F1319" s="27"/>
      <c r="G1319" s="141"/>
      <c r="H1319" s="141"/>
      <c r="I1319" s="551"/>
      <c r="J1319" s="552"/>
      <c r="K1319" s="33"/>
      <c r="L1319" s="145"/>
    </row>
    <row r="1320" spans="5:12" s="15" customFormat="1" ht="12.75" customHeight="1" x14ac:dyDescent="0.2">
      <c r="E1320" s="27"/>
      <c r="F1320" s="27"/>
      <c r="G1320" s="141"/>
      <c r="H1320" s="141"/>
      <c r="I1320" s="551"/>
      <c r="J1320" s="552"/>
      <c r="K1320" s="33"/>
      <c r="L1320" s="145"/>
    </row>
    <row r="1321" spans="5:12" s="15" customFormat="1" ht="12.75" customHeight="1" x14ac:dyDescent="0.2">
      <c r="E1321" s="27"/>
      <c r="F1321" s="27"/>
      <c r="G1321" s="141"/>
      <c r="H1321" s="141"/>
      <c r="I1321" s="551"/>
      <c r="J1321" s="552"/>
      <c r="K1321" s="33"/>
      <c r="L1321" s="145"/>
    </row>
    <row r="1322" spans="5:12" s="15" customFormat="1" ht="12.75" customHeight="1" x14ac:dyDescent="0.2">
      <c r="E1322" s="27"/>
      <c r="F1322" s="27"/>
      <c r="G1322" s="141"/>
      <c r="H1322" s="141"/>
      <c r="I1322" s="551"/>
      <c r="J1322" s="552"/>
      <c r="K1322" s="33"/>
      <c r="L1322" s="145"/>
    </row>
    <row r="1323" spans="5:12" s="15" customFormat="1" ht="12.75" customHeight="1" x14ac:dyDescent="0.2">
      <c r="E1323" s="27"/>
      <c r="F1323" s="27"/>
      <c r="G1323" s="141"/>
      <c r="H1323" s="141"/>
      <c r="I1323" s="551"/>
      <c r="J1323" s="552"/>
      <c r="K1323" s="33"/>
      <c r="L1323" s="145"/>
    </row>
    <row r="1324" spans="5:12" s="15" customFormat="1" ht="12.75" customHeight="1" x14ac:dyDescent="0.2">
      <c r="E1324" s="27"/>
      <c r="F1324" s="27"/>
      <c r="G1324" s="141"/>
      <c r="H1324" s="141"/>
      <c r="I1324" s="551"/>
      <c r="J1324" s="552"/>
      <c r="K1324" s="33"/>
      <c r="L1324" s="145"/>
    </row>
    <row r="1325" spans="5:12" s="15" customFormat="1" ht="12.75" customHeight="1" x14ac:dyDescent="0.2">
      <c r="E1325" s="27"/>
      <c r="F1325" s="27"/>
      <c r="G1325" s="141"/>
      <c r="H1325" s="141"/>
      <c r="I1325" s="551"/>
      <c r="J1325" s="552"/>
      <c r="K1325" s="33"/>
      <c r="L1325" s="145"/>
    </row>
    <row r="1326" spans="5:12" s="15" customFormat="1" ht="12.75" customHeight="1" x14ac:dyDescent="0.2">
      <c r="E1326" s="27"/>
      <c r="F1326" s="27"/>
      <c r="G1326" s="141"/>
      <c r="H1326" s="141"/>
      <c r="I1326" s="551"/>
      <c r="J1326" s="552"/>
      <c r="K1326" s="33"/>
      <c r="L1326" s="145"/>
    </row>
    <row r="1327" spans="5:12" s="15" customFormat="1" ht="12.75" customHeight="1" x14ac:dyDescent="0.2">
      <c r="E1327" s="27"/>
      <c r="F1327" s="27"/>
      <c r="G1327" s="141"/>
      <c r="H1327" s="141"/>
      <c r="I1327" s="551"/>
      <c r="J1327" s="552"/>
      <c r="K1327" s="33"/>
      <c r="L1327" s="145"/>
    </row>
    <row r="1328" spans="5:12" s="15" customFormat="1" ht="12.75" customHeight="1" x14ac:dyDescent="0.2">
      <c r="E1328" s="27"/>
      <c r="F1328" s="27"/>
      <c r="G1328" s="141"/>
      <c r="H1328" s="141"/>
      <c r="I1328" s="551"/>
      <c r="J1328" s="552"/>
      <c r="K1328" s="33"/>
      <c r="L1328" s="145"/>
    </row>
    <row r="1329" spans="5:12" s="15" customFormat="1" ht="12.75" customHeight="1" x14ac:dyDescent="0.2">
      <c r="E1329" s="27"/>
      <c r="F1329" s="27"/>
      <c r="G1329" s="141"/>
      <c r="H1329" s="141"/>
      <c r="I1329" s="551"/>
      <c r="J1329" s="552"/>
      <c r="K1329" s="33"/>
      <c r="L1329" s="145"/>
    </row>
    <row r="1330" spans="5:12" s="15" customFormat="1" ht="12.75" customHeight="1" x14ac:dyDescent="0.2">
      <c r="E1330" s="27"/>
      <c r="F1330" s="27"/>
      <c r="G1330" s="141"/>
      <c r="H1330" s="141"/>
      <c r="I1330" s="551"/>
      <c r="J1330" s="552"/>
      <c r="K1330" s="33"/>
      <c r="L1330" s="145"/>
    </row>
    <row r="1331" spans="5:12" s="15" customFormat="1" ht="12.75" customHeight="1" x14ac:dyDescent="0.2">
      <c r="E1331" s="27"/>
      <c r="F1331" s="27"/>
      <c r="G1331" s="141"/>
      <c r="H1331" s="141"/>
      <c r="I1331" s="551"/>
      <c r="J1331" s="552"/>
      <c r="K1331" s="33"/>
      <c r="L1331" s="145"/>
    </row>
    <row r="1332" spans="5:12" s="15" customFormat="1" ht="12.75" customHeight="1" x14ac:dyDescent="0.2">
      <c r="E1332" s="27"/>
      <c r="F1332" s="27"/>
      <c r="G1332" s="141"/>
      <c r="H1332" s="141"/>
      <c r="I1332" s="551"/>
      <c r="J1332" s="552"/>
      <c r="K1332" s="33"/>
      <c r="L1332" s="145"/>
    </row>
    <row r="1333" spans="5:12" s="15" customFormat="1" ht="12.75" customHeight="1" x14ac:dyDescent="0.2">
      <c r="E1333" s="27"/>
      <c r="F1333" s="27"/>
      <c r="G1333" s="141"/>
      <c r="H1333" s="141"/>
      <c r="I1333" s="551"/>
      <c r="J1333" s="552"/>
      <c r="K1333" s="33"/>
      <c r="L1333" s="145"/>
    </row>
    <row r="1334" spans="5:12" s="15" customFormat="1" ht="12.75" customHeight="1" x14ac:dyDescent="0.2">
      <c r="E1334" s="27"/>
      <c r="F1334" s="27"/>
      <c r="G1334" s="141"/>
      <c r="H1334" s="141"/>
      <c r="I1334" s="551"/>
      <c r="J1334" s="552"/>
      <c r="K1334" s="33"/>
      <c r="L1334" s="145"/>
    </row>
    <row r="1335" spans="5:12" s="15" customFormat="1" ht="12.75" customHeight="1" x14ac:dyDescent="0.2">
      <c r="E1335" s="27"/>
      <c r="F1335" s="27"/>
      <c r="G1335" s="141"/>
      <c r="H1335" s="141"/>
      <c r="I1335" s="551"/>
      <c r="J1335" s="552"/>
      <c r="K1335" s="33"/>
      <c r="L1335" s="145"/>
    </row>
    <row r="1336" spans="5:12" s="15" customFormat="1" ht="12.75" customHeight="1" x14ac:dyDescent="0.2">
      <c r="E1336" s="27"/>
      <c r="F1336" s="27"/>
      <c r="G1336" s="141"/>
      <c r="H1336" s="141"/>
      <c r="I1336" s="551"/>
      <c r="J1336" s="552"/>
      <c r="K1336" s="33"/>
      <c r="L1336" s="145"/>
    </row>
    <row r="1337" spans="5:12" s="15" customFormat="1" ht="12.75" customHeight="1" x14ac:dyDescent="0.2">
      <c r="E1337" s="27"/>
      <c r="F1337" s="27"/>
      <c r="G1337" s="141"/>
      <c r="H1337" s="141"/>
      <c r="I1337" s="551"/>
      <c r="J1337" s="552"/>
      <c r="K1337" s="33"/>
      <c r="L1337" s="145"/>
    </row>
    <row r="1338" spans="5:12" s="15" customFormat="1" ht="12.75" customHeight="1" x14ac:dyDescent="0.2">
      <c r="E1338" s="27"/>
      <c r="F1338" s="27"/>
      <c r="G1338" s="141"/>
      <c r="H1338" s="141"/>
      <c r="I1338" s="551"/>
      <c r="J1338" s="552"/>
      <c r="K1338" s="33"/>
      <c r="L1338" s="145"/>
    </row>
    <row r="1339" spans="5:12" s="15" customFormat="1" ht="12.75" customHeight="1" x14ac:dyDescent="0.2">
      <c r="E1339" s="27"/>
      <c r="F1339" s="27"/>
      <c r="G1339" s="141"/>
      <c r="H1339" s="141"/>
      <c r="I1339" s="551"/>
      <c r="J1339" s="552"/>
      <c r="K1339" s="33"/>
      <c r="L1339" s="145"/>
    </row>
    <row r="1340" spans="5:12" s="15" customFormat="1" ht="12.75" customHeight="1" x14ac:dyDescent="0.2">
      <c r="E1340" s="27"/>
      <c r="F1340" s="27"/>
      <c r="G1340" s="141"/>
      <c r="H1340" s="141"/>
      <c r="I1340" s="551"/>
      <c r="J1340" s="552"/>
      <c r="K1340" s="33"/>
      <c r="L1340" s="145"/>
    </row>
    <row r="1341" spans="5:12" s="15" customFormat="1" ht="12.75" customHeight="1" x14ac:dyDescent="0.2">
      <c r="E1341" s="27"/>
      <c r="F1341" s="27"/>
      <c r="G1341" s="141"/>
      <c r="H1341" s="141"/>
      <c r="I1341" s="551"/>
      <c r="J1341" s="552"/>
      <c r="K1341" s="33"/>
      <c r="L1341" s="145"/>
    </row>
    <row r="1342" spans="5:12" s="15" customFormat="1" ht="12.75" customHeight="1" x14ac:dyDescent="0.2">
      <c r="E1342" s="27"/>
      <c r="F1342" s="27"/>
      <c r="G1342" s="141"/>
      <c r="H1342" s="141"/>
      <c r="I1342" s="551"/>
      <c r="J1342" s="552"/>
      <c r="K1342" s="33"/>
      <c r="L1342" s="145"/>
    </row>
    <row r="1343" spans="5:12" s="15" customFormat="1" ht="12.75" customHeight="1" x14ac:dyDescent="0.2">
      <c r="E1343" s="27"/>
      <c r="F1343" s="27"/>
      <c r="G1343" s="141"/>
      <c r="H1343" s="141"/>
      <c r="I1343" s="551"/>
      <c r="J1343" s="552"/>
      <c r="K1343" s="33"/>
      <c r="L1343" s="145"/>
    </row>
    <row r="1344" spans="5:12" s="15" customFormat="1" ht="12.75" customHeight="1" x14ac:dyDescent="0.2">
      <c r="E1344" s="27"/>
      <c r="F1344" s="27"/>
      <c r="G1344" s="141"/>
      <c r="H1344" s="141"/>
      <c r="I1344" s="551"/>
      <c r="J1344" s="552"/>
      <c r="K1344" s="33"/>
      <c r="L1344" s="145"/>
    </row>
    <row r="1345" spans="5:12" s="15" customFormat="1" ht="12.75" customHeight="1" x14ac:dyDescent="0.2">
      <c r="E1345" s="27"/>
      <c r="F1345" s="27"/>
      <c r="G1345" s="141"/>
      <c r="H1345" s="141"/>
      <c r="I1345" s="551"/>
      <c r="J1345" s="552"/>
      <c r="K1345" s="33"/>
      <c r="L1345" s="145"/>
    </row>
    <row r="1346" spans="5:12" s="15" customFormat="1" ht="12.75" customHeight="1" x14ac:dyDescent="0.2">
      <c r="E1346" s="27"/>
      <c r="F1346" s="27"/>
      <c r="G1346" s="141"/>
      <c r="H1346" s="141"/>
      <c r="I1346" s="551"/>
      <c r="J1346" s="552"/>
      <c r="K1346" s="33"/>
      <c r="L1346" s="145"/>
    </row>
    <row r="1347" spans="5:12" s="15" customFormat="1" ht="12.75" customHeight="1" x14ac:dyDescent="0.2">
      <c r="E1347" s="27"/>
      <c r="F1347" s="27"/>
      <c r="G1347" s="141"/>
      <c r="H1347" s="141"/>
      <c r="I1347" s="551"/>
      <c r="J1347" s="552"/>
      <c r="K1347" s="33"/>
      <c r="L1347" s="145"/>
    </row>
    <row r="1348" spans="5:12" s="15" customFormat="1" ht="12.75" customHeight="1" x14ac:dyDescent="0.2">
      <c r="E1348" s="27"/>
      <c r="F1348" s="27"/>
      <c r="G1348" s="141"/>
      <c r="H1348" s="141"/>
      <c r="I1348" s="551"/>
      <c r="J1348" s="552"/>
      <c r="K1348" s="33"/>
      <c r="L1348" s="145"/>
    </row>
    <row r="1349" spans="5:12" s="15" customFormat="1" ht="12.75" customHeight="1" x14ac:dyDescent="0.2">
      <c r="E1349" s="27"/>
      <c r="F1349" s="27"/>
      <c r="G1349" s="141"/>
      <c r="H1349" s="141"/>
      <c r="I1349" s="551"/>
      <c r="J1349" s="552"/>
      <c r="K1349" s="33"/>
      <c r="L1349" s="145"/>
    </row>
    <row r="1350" spans="5:12" s="15" customFormat="1" ht="12.75" customHeight="1" x14ac:dyDescent="0.2">
      <c r="E1350" s="27"/>
      <c r="F1350" s="27"/>
      <c r="G1350" s="141"/>
      <c r="H1350" s="141"/>
      <c r="I1350" s="551"/>
      <c r="J1350" s="552"/>
      <c r="K1350" s="33"/>
      <c r="L1350" s="145"/>
    </row>
    <row r="1351" spans="5:12" s="15" customFormat="1" ht="12.75" customHeight="1" x14ac:dyDescent="0.2">
      <c r="E1351" s="27"/>
      <c r="F1351" s="27"/>
      <c r="G1351" s="141"/>
      <c r="H1351" s="141"/>
      <c r="I1351" s="551"/>
      <c r="J1351" s="552"/>
      <c r="K1351" s="33"/>
      <c r="L1351" s="145"/>
    </row>
    <row r="1352" spans="5:12" s="15" customFormat="1" ht="12.75" customHeight="1" x14ac:dyDescent="0.2">
      <c r="E1352" s="27"/>
      <c r="F1352" s="27"/>
      <c r="G1352" s="141"/>
      <c r="H1352" s="141"/>
      <c r="I1352" s="551"/>
      <c r="J1352" s="552"/>
      <c r="K1352" s="33"/>
      <c r="L1352" s="145"/>
    </row>
    <row r="1353" spans="5:12" s="15" customFormat="1" ht="12.75" customHeight="1" x14ac:dyDescent="0.2">
      <c r="E1353" s="27"/>
      <c r="F1353" s="27"/>
      <c r="G1353" s="141"/>
      <c r="H1353" s="141"/>
      <c r="I1353" s="551"/>
      <c r="J1353" s="552"/>
      <c r="K1353" s="33"/>
      <c r="L1353" s="145"/>
    </row>
    <row r="1354" spans="5:12" s="15" customFormat="1" ht="12.75" customHeight="1" x14ac:dyDescent="0.2">
      <c r="E1354" s="27"/>
      <c r="F1354" s="27"/>
      <c r="G1354" s="141"/>
      <c r="H1354" s="141"/>
      <c r="I1354" s="551"/>
      <c r="J1354" s="552"/>
      <c r="K1354" s="33"/>
      <c r="L1354" s="145"/>
    </row>
    <row r="1355" spans="5:12" s="15" customFormat="1" ht="12.75" customHeight="1" x14ac:dyDescent="0.2">
      <c r="E1355" s="27"/>
      <c r="F1355" s="27"/>
      <c r="G1355" s="141"/>
      <c r="H1355" s="141"/>
      <c r="I1355" s="551"/>
      <c r="J1355" s="552"/>
      <c r="K1355" s="33"/>
      <c r="L1355" s="145"/>
    </row>
    <row r="1356" spans="5:12" s="15" customFormat="1" ht="12.75" customHeight="1" x14ac:dyDescent="0.2">
      <c r="E1356" s="27"/>
      <c r="F1356" s="27"/>
      <c r="G1356" s="141"/>
      <c r="H1356" s="141"/>
      <c r="I1356" s="551"/>
      <c r="J1356" s="552"/>
      <c r="K1356" s="33"/>
      <c r="L1356" s="145"/>
    </row>
    <row r="1357" spans="5:12" s="15" customFormat="1" ht="12.75" customHeight="1" x14ac:dyDescent="0.2">
      <c r="E1357" s="27"/>
      <c r="F1357" s="27"/>
      <c r="G1357" s="141"/>
      <c r="H1357" s="141"/>
      <c r="I1357" s="551"/>
      <c r="J1357" s="552"/>
      <c r="K1357" s="33"/>
      <c r="L1357" s="145"/>
    </row>
    <row r="1358" spans="5:12" s="15" customFormat="1" ht="12.75" customHeight="1" x14ac:dyDescent="0.2">
      <c r="E1358" s="27"/>
      <c r="F1358" s="27"/>
      <c r="G1358" s="141"/>
      <c r="H1358" s="141"/>
      <c r="I1358" s="551"/>
      <c r="J1358" s="552"/>
      <c r="K1358" s="33"/>
      <c r="L1358" s="145"/>
    </row>
    <row r="1359" spans="5:12" s="15" customFormat="1" ht="12.75" customHeight="1" x14ac:dyDescent="0.2">
      <c r="E1359" s="27"/>
      <c r="F1359" s="27"/>
      <c r="G1359" s="141"/>
      <c r="H1359" s="141"/>
      <c r="I1359" s="551"/>
      <c r="J1359" s="552"/>
      <c r="K1359" s="33"/>
      <c r="L1359" s="145"/>
    </row>
    <row r="1360" spans="5:12" s="15" customFormat="1" ht="12.75" customHeight="1" x14ac:dyDescent="0.2">
      <c r="E1360" s="27"/>
      <c r="F1360" s="27"/>
      <c r="G1360" s="141"/>
      <c r="H1360" s="141"/>
      <c r="I1360" s="551"/>
      <c r="J1360" s="552"/>
      <c r="K1360" s="33"/>
      <c r="L1360" s="145"/>
    </row>
    <row r="1361" spans="5:12" s="15" customFormat="1" ht="12.75" customHeight="1" x14ac:dyDescent="0.2">
      <c r="E1361" s="27"/>
      <c r="F1361" s="27"/>
      <c r="G1361" s="141"/>
      <c r="H1361" s="141"/>
      <c r="I1361" s="551"/>
      <c r="J1361" s="552"/>
      <c r="K1361" s="33"/>
      <c r="L1361" s="145"/>
    </row>
    <row r="1362" spans="5:12" s="15" customFormat="1" ht="12.75" customHeight="1" x14ac:dyDescent="0.2">
      <c r="E1362" s="27"/>
      <c r="F1362" s="27"/>
      <c r="G1362" s="141"/>
      <c r="H1362" s="141"/>
      <c r="I1362" s="551"/>
      <c r="J1362" s="552"/>
      <c r="K1362" s="33"/>
      <c r="L1362" s="145"/>
    </row>
    <row r="1363" spans="5:12" s="15" customFormat="1" ht="12.75" customHeight="1" x14ac:dyDescent="0.2">
      <c r="E1363" s="27"/>
      <c r="F1363" s="27"/>
      <c r="G1363" s="141"/>
      <c r="H1363" s="141"/>
      <c r="I1363" s="551"/>
      <c r="J1363" s="552"/>
      <c r="K1363" s="33"/>
      <c r="L1363" s="145"/>
    </row>
    <row r="1364" spans="5:12" s="15" customFormat="1" ht="12.75" customHeight="1" x14ac:dyDescent="0.2">
      <c r="E1364" s="27"/>
      <c r="F1364" s="27"/>
      <c r="G1364" s="141"/>
      <c r="H1364" s="141"/>
      <c r="I1364" s="551"/>
      <c r="J1364" s="552"/>
      <c r="K1364" s="33"/>
      <c r="L1364" s="145"/>
    </row>
    <row r="1365" spans="5:12" s="15" customFormat="1" ht="12.75" customHeight="1" x14ac:dyDescent="0.2">
      <c r="E1365" s="27"/>
      <c r="F1365" s="27"/>
      <c r="G1365" s="141"/>
      <c r="H1365" s="141"/>
      <c r="I1365" s="551"/>
      <c r="J1365" s="552"/>
      <c r="K1365" s="33"/>
      <c r="L1365" s="145"/>
    </row>
    <row r="1366" spans="5:12" s="15" customFormat="1" ht="12.75" customHeight="1" x14ac:dyDescent="0.2">
      <c r="E1366" s="27"/>
      <c r="F1366" s="27"/>
      <c r="G1366" s="141"/>
      <c r="H1366" s="141"/>
      <c r="I1366" s="551"/>
      <c r="J1366" s="552"/>
      <c r="K1366" s="33"/>
      <c r="L1366" s="145"/>
    </row>
    <row r="1367" spans="5:12" s="15" customFormat="1" ht="12.75" customHeight="1" x14ac:dyDescent="0.2">
      <c r="E1367" s="27"/>
      <c r="F1367" s="27"/>
      <c r="G1367" s="141"/>
      <c r="H1367" s="141"/>
      <c r="I1367" s="551"/>
      <c r="J1367" s="552"/>
      <c r="K1367" s="33"/>
      <c r="L1367" s="145"/>
    </row>
    <row r="1368" spans="5:12" s="15" customFormat="1" ht="12.75" customHeight="1" x14ac:dyDescent="0.2">
      <c r="E1368" s="27"/>
      <c r="F1368" s="27"/>
      <c r="G1368" s="141"/>
      <c r="H1368" s="141"/>
      <c r="I1368" s="551"/>
      <c r="J1368" s="552"/>
      <c r="K1368" s="33"/>
      <c r="L1368" s="145"/>
    </row>
    <row r="1369" spans="5:12" s="15" customFormat="1" ht="12.75" customHeight="1" x14ac:dyDescent="0.2">
      <c r="E1369" s="27"/>
      <c r="F1369" s="27"/>
      <c r="G1369" s="141"/>
      <c r="H1369" s="141"/>
      <c r="I1369" s="551"/>
      <c r="J1369" s="552"/>
      <c r="K1369" s="33"/>
      <c r="L1369" s="145"/>
    </row>
    <row r="1370" spans="5:12" s="15" customFormat="1" ht="12.75" customHeight="1" x14ac:dyDescent="0.2">
      <c r="E1370" s="27"/>
      <c r="F1370" s="27"/>
      <c r="G1370" s="141"/>
      <c r="H1370" s="141"/>
      <c r="I1370" s="551"/>
      <c r="J1370" s="552"/>
      <c r="K1370" s="33"/>
      <c r="L1370" s="145"/>
    </row>
    <row r="1371" spans="5:12" s="15" customFormat="1" ht="12.75" customHeight="1" x14ac:dyDescent="0.2">
      <c r="E1371" s="27"/>
      <c r="F1371" s="27"/>
      <c r="G1371" s="141"/>
      <c r="H1371" s="141"/>
      <c r="I1371" s="551"/>
      <c r="J1371" s="552"/>
      <c r="K1371" s="33"/>
      <c r="L1371" s="145"/>
    </row>
    <row r="1372" spans="5:12" s="15" customFormat="1" ht="12.75" customHeight="1" x14ac:dyDescent="0.2">
      <c r="E1372" s="27"/>
      <c r="F1372" s="27"/>
      <c r="G1372" s="141"/>
      <c r="H1372" s="141"/>
      <c r="I1372" s="551"/>
      <c r="J1372" s="552"/>
      <c r="K1372" s="33"/>
      <c r="L1372" s="145"/>
    </row>
    <row r="1373" spans="5:12" s="15" customFormat="1" ht="12.75" customHeight="1" x14ac:dyDescent="0.2">
      <c r="E1373" s="27"/>
      <c r="F1373" s="27"/>
      <c r="G1373" s="141"/>
      <c r="H1373" s="141"/>
      <c r="I1373" s="551"/>
      <c r="J1373" s="552"/>
      <c r="K1373" s="33"/>
      <c r="L1373" s="145"/>
    </row>
    <row r="1374" spans="5:12" s="15" customFormat="1" ht="12.75" customHeight="1" x14ac:dyDescent="0.2">
      <c r="E1374" s="27"/>
      <c r="F1374" s="27"/>
      <c r="G1374" s="141"/>
      <c r="H1374" s="141"/>
      <c r="I1374" s="551"/>
      <c r="J1374" s="552"/>
      <c r="K1374" s="33"/>
      <c r="L1374" s="145"/>
    </row>
    <row r="1375" spans="5:12" s="15" customFormat="1" ht="12.75" customHeight="1" x14ac:dyDescent="0.2">
      <c r="E1375" s="27"/>
      <c r="F1375" s="27"/>
      <c r="G1375" s="141"/>
      <c r="H1375" s="141"/>
      <c r="I1375" s="551"/>
      <c r="J1375" s="552"/>
      <c r="K1375" s="33"/>
      <c r="L1375" s="145"/>
    </row>
    <row r="1376" spans="5:12" s="15" customFormat="1" ht="12.75" customHeight="1" x14ac:dyDescent="0.2">
      <c r="E1376" s="27"/>
      <c r="F1376" s="27"/>
      <c r="G1376" s="141"/>
      <c r="H1376" s="141"/>
      <c r="I1376" s="551"/>
      <c r="J1376" s="552"/>
      <c r="K1376" s="33"/>
      <c r="L1376" s="145"/>
    </row>
    <row r="1377" spans="5:12" s="15" customFormat="1" ht="12.75" customHeight="1" x14ac:dyDescent="0.2">
      <c r="E1377" s="27"/>
      <c r="F1377" s="27"/>
      <c r="G1377" s="141"/>
      <c r="H1377" s="141"/>
      <c r="I1377" s="551"/>
      <c r="J1377" s="552"/>
      <c r="K1377" s="33"/>
      <c r="L1377" s="145"/>
    </row>
    <row r="1378" spans="5:12" s="15" customFormat="1" ht="12.75" customHeight="1" x14ac:dyDescent="0.2">
      <c r="E1378" s="27"/>
      <c r="F1378" s="27"/>
      <c r="G1378" s="141"/>
      <c r="H1378" s="141"/>
      <c r="I1378" s="551"/>
      <c r="J1378" s="552"/>
      <c r="K1378" s="33"/>
      <c r="L1378" s="145"/>
    </row>
    <row r="1379" spans="5:12" s="15" customFormat="1" ht="12.75" customHeight="1" x14ac:dyDescent="0.2">
      <c r="E1379" s="27"/>
      <c r="F1379" s="27"/>
      <c r="G1379" s="141"/>
      <c r="H1379" s="141"/>
      <c r="I1379" s="551"/>
      <c r="J1379" s="552"/>
      <c r="K1379" s="33"/>
      <c r="L1379" s="145"/>
    </row>
    <row r="1380" spans="5:12" s="15" customFormat="1" ht="12.75" customHeight="1" x14ac:dyDescent="0.2">
      <c r="E1380" s="27"/>
      <c r="F1380" s="27"/>
      <c r="G1380" s="141"/>
      <c r="H1380" s="141"/>
      <c r="I1380" s="551"/>
      <c r="J1380" s="552"/>
      <c r="K1380" s="33"/>
      <c r="L1380" s="145"/>
    </row>
    <row r="1381" spans="5:12" s="15" customFormat="1" ht="12.75" customHeight="1" x14ac:dyDescent="0.2">
      <c r="E1381" s="27"/>
      <c r="F1381" s="27"/>
      <c r="G1381" s="141"/>
      <c r="H1381" s="141"/>
      <c r="I1381" s="551"/>
      <c r="J1381" s="552"/>
      <c r="K1381" s="33"/>
      <c r="L1381" s="145"/>
    </row>
    <row r="1382" spans="5:12" s="15" customFormat="1" ht="12.75" customHeight="1" x14ac:dyDescent="0.2">
      <c r="E1382" s="27"/>
      <c r="F1382" s="27"/>
      <c r="G1382" s="141"/>
      <c r="H1382" s="141"/>
      <c r="I1382" s="551"/>
      <c r="J1382" s="552"/>
      <c r="K1382" s="33"/>
      <c r="L1382" s="145"/>
    </row>
    <row r="1383" spans="5:12" s="15" customFormat="1" ht="12.75" customHeight="1" x14ac:dyDescent="0.2">
      <c r="E1383" s="27"/>
      <c r="F1383" s="27"/>
      <c r="G1383" s="141"/>
      <c r="H1383" s="141"/>
      <c r="I1383" s="551"/>
      <c r="J1383" s="552"/>
      <c r="K1383" s="33"/>
      <c r="L1383" s="145"/>
    </row>
    <row r="1384" spans="5:12" s="15" customFormat="1" ht="12.75" customHeight="1" x14ac:dyDescent="0.2">
      <c r="E1384" s="27"/>
      <c r="F1384" s="27"/>
      <c r="G1384" s="141"/>
      <c r="H1384" s="141"/>
      <c r="I1384" s="551"/>
      <c r="J1384" s="552"/>
      <c r="K1384" s="33"/>
      <c r="L1384" s="145"/>
    </row>
    <row r="1385" spans="5:12" s="15" customFormat="1" ht="12.75" customHeight="1" x14ac:dyDescent="0.2">
      <c r="E1385" s="27"/>
      <c r="F1385" s="27"/>
      <c r="G1385" s="141"/>
      <c r="H1385" s="141"/>
      <c r="I1385" s="551"/>
      <c r="J1385" s="552"/>
      <c r="K1385" s="33"/>
      <c r="L1385" s="145"/>
    </row>
    <row r="1386" spans="5:12" s="15" customFormat="1" ht="12.75" customHeight="1" x14ac:dyDescent="0.2">
      <c r="E1386" s="27"/>
      <c r="F1386" s="27"/>
      <c r="G1386" s="141"/>
      <c r="H1386" s="141"/>
      <c r="I1386" s="551"/>
      <c r="J1386" s="552"/>
      <c r="K1386" s="33"/>
      <c r="L1386" s="145"/>
    </row>
    <row r="1387" spans="5:12" s="15" customFormat="1" ht="12.75" customHeight="1" x14ac:dyDescent="0.2">
      <c r="E1387" s="27"/>
      <c r="F1387" s="27"/>
      <c r="G1387" s="141"/>
      <c r="H1387" s="141"/>
      <c r="I1387" s="551"/>
      <c r="J1387" s="552"/>
      <c r="K1387" s="33"/>
      <c r="L1387" s="145"/>
    </row>
    <row r="1388" spans="5:12" s="15" customFormat="1" ht="12.75" customHeight="1" x14ac:dyDescent="0.2">
      <c r="E1388" s="27"/>
      <c r="F1388" s="27"/>
      <c r="G1388" s="141"/>
      <c r="H1388" s="141"/>
      <c r="I1388" s="551"/>
      <c r="J1388" s="552"/>
      <c r="K1388" s="33"/>
      <c r="L1388" s="145"/>
    </row>
    <row r="1389" spans="5:12" s="15" customFormat="1" ht="12.75" customHeight="1" x14ac:dyDescent="0.2">
      <c r="E1389" s="27"/>
      <c r="F1389" s="27"/>
      <c r="G1389" s="141"/>
      <c r="H1389" s="141"/>
      <c r="I1389" s="551"/>
      <c r="J1389" s="552"/>
      <c r="K1389" s="33"/>
      <c r="L1389" s="145"/>
    </row>
    <row r="1390" spans="5:12" s="15" customFormat="1" ht="12.75" customHeight="1" x14ac:dyDescent="0.2">
      <c r="E1390" s="27"/>
      <c r="F1390" s="27"/>
      <c r="G1390" s="141"/>
      <c r="H1390" s="141"/>
      <c r="I1390" s="551"/>
      <c r="J1390" s="552"/>
      <c r="K1390" s="33"/>
      <c r="L1390" s="145"/>
    </row>
    <row r="1391" spans="5:12" s="15" customFormat="1" ht="12.75" customHeight="1" x14ac:dyDescent="0.2">
      <c r="E1391" s="27"/>
      <c r="F1391" s="27"/>
      <c r="G1391" s="141"/>
      <c r="H1391" s="141"/>
      <c r="I1391" s="551"/>
      <c r="J1391" s="552"/>
      <c r="K1391" s="33"/>
      <c r="L1391" s="145"/>
    </row>
    <row r="1392" spans="5:12" s="15" customFormat="1" ht="12.75" customHeight="1" x14ac:dyDescent="0.2">
      <c r="E1392" s="27"/>
      <c r="F1392" s="27"/>
      <c r="G1392" s="141"/>
      <c r="H1392" s="141"/>
      <c r="I1392" s="551"/>
      <c r="J1392" s="552"/>
      <c r="K1392" s="33"/>
      <c r="L1392" s="145"/>
    </row>
    <row r="1393" spans="5:12" s="15" customFormat="1" ht="12.75" customHeight="1" x14ac:dyDescent="0.2">
      <c r="E1393" s="27"/>
      <c r="F1393" s="27"/>
      <c r="G1393" s="141"/>
      <c r="H1393" s="141"/>
      <c r="I1393" s="551"/>
      <c r="J1393" s="552"/>
      <c r="K1393" s="33"/>
      <c r="L1393" s="145"/>
    </row>
    <row r="1394" spans="5:12" s="15" customFormat="1" ht="12.75" customHeight="1" x14ac:dyDescent="0.2">
      <c r="E1394" s="27"/>
      <c r="F1394" s="27"/>
      <c r="G1394" s="141"/>
      <c r="H1394" s="141"/>
      <c r="I1394" s="551"/>
      <c r="J1394" s="552"/>
      <c r="K1394" s="33"/>
      <c r="L1394" s="145"/>
    </row>
    <row r="1395" spans="5:12" s="15" customFormat="1" ht="12.75" customHeight="1" x14ac:dyDescent="0.2">
      <c r="E1395" s="27"/>
      <c r="F1395" s="27"/>
      <c r="G1395" s="141"/>
      <c r="H1395" s="141"/>
      <c r="I1395" s="551"/>
      <c r="J1395" s="552"/>
      <c r="K1395" s="33"/>
      <c r="L1395" s="145"/>
    </row>
    <row r="1396" spans="5:12" s="15" customFormat="1" ht="12.75" customHeight="1" x14ac:dyDescent="0.2">
      <c r="E1396" s="27"/>
      <c r="F1396" s="27"/>
      <c r="G1396" s="141"/>
      <c r="H1396" s="141"/>
      <c r="I1396" s="551"/>
      <c r="J1396" s="552"/>
      <c r="K1396" s="33"/>
      <c r="L1396" s="145"/>
    </row>
    <row r="1397" spans="5:12" s="15" customFormat="1" ht="12.75" customHeight="1" x14ac:dyDescent="0.2">
      <c r="E1397" s="27"/>
      <c r="F1397" s="27"/>
      <c r="G1397" s="141"/>
      <c r="H1397" s="141"/>
      <c r="I1397" s="551"/>
      <c r="J1397" s="552"/>
      <c r="K1397" s="33"/>
      <c r="L1397" s="145"/>
    </row>
    <row r="1398" spans="5:12" s="15" customFormat="1" ht="12.75" customHeight="1" x14ac:dyDescent="0.2">
      <c r="E1398" s="27"/>
      <c r="F1398" s="27"/>
      <c r="G1398" s="141"/>
      <c r="H1398" s="141"/>
      <c r="I1398" s="551"/>
      <c r="J1398" s="552"/>
      <c r="K1398" s="33"/>
      <c r="L1398" s="145"/>
    </row>
    <row r="1399" spans="5:12" s="15" customFormat="1" ht="12.75" customHeight="1" x14ac:dyDescent="0.2">
      <c r="E1399" s="27"/>
      <c r="F1399" s="27"/>
      <c r="G1399" s="141"/>
      <c r="H1399" s="141"/>
      <c r="I1399" s="551"/>
      <c r="J1399" s="552"/>
      <c r="K1399" s="33"/>
      <c r="L1399" s="145"/>
    </row>
    <row r="1400" spans="5:12" s="15" customFormat="1" ht="12.75" customHeight="1" x14ac:dyDescent="0.2">
      <c r="E1400" s="27"/>
      <c r="F1400" s="27"/>
      <c r="G1400" s="141"/>
      <c r="H1400" s="141"/>
      <c r="I1400" s="551"/>
      <c r="J1400" s="552"/>
      <c r="K1400" s="33"/>
      <c r="L1400" s="145"/>
    </row>
    <row r="1401" spans="5:12" s="15" customFormat="1" ht="12.75" customHeight="1" x14ac:dyDescent="0.2">
      <c r="E1401" s="27"/>
      <c r="F1401" s="27"/>
      <c r="G1401" s="141"/>
      <c r="H1401" s="141"/>
      <c r="I1401" s="551"/>
      <c r="J1401" s="552"/>
      <c r="K1401" s="33"/>
      <c r="L1401" s="145"/>
    </row>
    <row r="1402" spans="5:12" s="15" customFormat="1" ht="12.75" customHeight="1" x14ac:dyDescent="0.2">
      <c r="E1402" s="27"/>
      <c r="F1402" s="27"/>
      <c r="G1402" s="141"/>
      <c r="H1402" s="141"/>
      <c r="I1402" s="551"/>
      <c r="J1402" s="552"/>
      <c r="K1402" s="33"/>
      <c r="L1402" s="145"/>
    </row>
    <row r="1403" spans="5:12" s="15" customFormat="1" ht="12.75" customHeight="1" x14ac:dyDescent="0.2">
      <c r="E1403" s="27"/>
      <c r="F1403" s="27"/>
      <c r="G1403" s="141"/>
      <c r="H1403" s="141"/>
      <c r="I1403" s="551"/>
      <c r="J1403" s="552"/>
      <c r="K1403" s="33"/>
      <c r="L1403" s="145"/>
    </row>
    <row r="1404" spans="5:12" s="15" customFormat="1" ht="12.75" customHeight="1" x14ac:dyDescent="0.2">
      <c r="E1404" s="27"/>
      <c r="F1404" s="27"/>
      <c r="G1404" s="141"/>
      <c r="H1404" s="141"/>
      <c r="I1404" s="551"/>
      <c r="J1404" s="552"/>
      <c r="K1404" s="33"/>
      <c r="L1404" s="145"/>
    </row>
    <row r="1405" spans="5:12" s="15" customFormat="1" ht="12.75" customHeight="1" x14ac:dyDescent="0.2">
      <c r="E1405" s="27"/>
      <c r="F1405" s="27"/>
      <c r="G1405" s="141"/>
      <c r="H1405" s="141"/>
      <c r="I1405" s="551"/>
      <c r="J1405" s="552"/>
      <c r="K1405" s="33"/>
      <c r="L1405" s="145"/>
    </row>
    <row r="1406" spans="5:12" s="15" customFormat="1" ht="12.75" customHeight="1" x14ac:dyDescent="0.2">
      <c r="E1406" s="27"/>
      <c r="F1406" s="27"/>
      <c r="G1406" s="141"/>
      <c r="H1406" s="141"/>
      <c r="I1406" s="551"/>
      <c r="J1406" s="552"/>
      <c r="K1406" s="33"/>
      <c r="L1406" s="145"/>
    </row>
    <row r="1407" spans="5:12" s="15" customFormat="1" ht="12.75" customHeight="1" x14ac:dyDescent="0.2">
      <c r="E1407" s="27"/>
      <c r="F1407" s="27"/>
      <c r="G1407" s="141"/>
      <c r="H1407" s="141"/>
      <c r="I1407" s="551"/>
      <c r="J1407" s="552"/>
      <c r="K1407" s="33"/>
      <c r="L1407" s="145"/>
    </row>
    <row r="1408" spans="5:12" s="15" customFormat="1" ht="12.75" customHeight="1" x14ac:dyDescent="0.2">
      <c r="E1408" s="27"/>
      <c r="F1408" s="27"/>
      <c r="G1408" s="141"/>
      <c r="H1408" s="141"/>
      <c r="I1408" s="551"/>
      <c r="J1408" s="552"/>
      <c r="K1408" s="33"/>
      <c r="L1408" s="145"/>
    </row>
    <row r="1409" spans="5:12" s="15" customFormat="1" ht="12.75" customHeight="1" x14ac:dyDescent="0.2">
      <c r="E1409" s="27"/>
      <c r="F1409" s="27"/>
      <c r="G1409" s="141"/>
      <c r="H1409" s="141"/>
      <c r="I1409" s="551"/>
      <c r="J1409" s="552"/>
      <c r="K1409" s="33"/>
      <c r="L1409" s="145"/>
    </row>
    <row r="1410" spans="5:12" s="15" customFormat="1" ht="12.75" customHeight="1" x14ac:dyDescent="0.2">
      <c r="E1410" s="27"/>
      <c r="F1410" s="27"/>
      <c r="G1410" s="141"/>
      <c r="H1410" s="141"/>
      <c r="I1410" s="551"/>
      <c r="J1410" s="552"/>
      <c r="K1410" s="33"/>
      <c r="L1410" s="145"/>
    </row>
    <row r="1411" spans="5:12" s="15" customFormat="1" ht="12.75" customHeight="1" x14ac:dyDescent="0.2">
      <c r="E1411" s="27"/>
      <c r="F1411" s="27"/>
      <c r="G1411" s="141"/>
      <c r="H1411" s="141"/>
      <c r="I1411" s="551"/>
      <c r="J1411" s="552"/>
      <c r="K1411" s="33"/>
      <c r="L1411" s="145"/>
    </row>
    <row r="1412" spans="5:12" s="15" customFormat="1" ht="12.75" customHeight="1" x14ac:dyDescent="0.2">
      <c r="E1412" s="27"/>
      <c r="F1412" s="27"/>
      <c r="G1412" s="141"/>
      <c r="H1412" s="141"/>
      <c r="I1412" s="551"/>
      <c r="J1412" s="552"/>
      <c r="K1412" s="33"/>
      <c r="L1412" s="145"/>
    </row>
    <row r="1413" spans="5:12" s="15" customFormat="1" ht="12.75" customHeight="1" x14ac:dyDescent="0.2">
      <c r="E1413" s="27"/>
      <c r="F1413" s="27"/>
      <c r="G1413" s="141"/>
      <c r="H1413" s="141"/>
      <c r="I1413" s="551"/>
      <c r="J1413" s="552"/>
      <c r="K1413" s="33"/>
      <c r="L1413" s="145"/>
    </row>
    <row r="1414" spans="5:12" s="15" customFormat="1" ht="12.75" customHeight="1" x14ac:dyDescent="0.2">
      <c r="E1414" s="27"/>
      <c r="F1414" s="27"/>
      <c r="G1414" s="141"/>
      <c r="H1414" s="141"/>
      <c r="I1414" s="551"/>
      <c r="J1414" s="552"/>
      <c r="K1414" s="33"/>
      <c r="L1414" s="145"/>
    </row>
    <row r="1415" spans="5:12" s="15" customFormat="1" ht="12.75" customHeight="1" x14ac:dyDescent="0.2">
      <c r="E1415" s="27"/>
      <c r="F1415" s="27"/>
      <c r="G1415" s="141"/>
      <c r="H1415" s="141"/>
      <c r="I1415" s="551"/>
      <c r="J1415" s="552"/>
      <c r="K1415" s="33"/>
      <c r="L1415" s="145"/>
    </row>
    <row r="1416" spans="5:12" s="15" customFormat="1" ht="12.75" customHeight="1" x14ac:dyDescent="0.2">
      <c r="E1416" s="27"/>
      <c r="F1416" s="27"/>
      <c r="G1416" s="141"/>
      <c r="H1416" s="141"/>
      <c r="I1416" s="551"/>
      <c r="J1416" s="552"/>
      <c r="K1416" s="33"/>
      <c r="L1416" s="145"/>
    </row>
    <row r="1417" spans="5:12" s="15" customFormat="1" ht="12.75" customHeight="1" x14ac:dyDescent="0.2">
      <c r="E1417" s="27"/>
      <c r="F1417" s="27"/>
      <c r="G1417" s="141"/>
      <c r="H1417" s="141"/>
      <c r="I1417" s="551"/>
      <c r="J1417" s="552"/>
      <c r="K1417" s="33"/>
      <c r="L1417" s="145"/>
    </row>
    <row r="1418" spans="5:12" s="15" customFormat="1" ht="12.75" customHeight="1" x14ac:dyDescent="0.2">
      <c r="E1418" s="27"/>
      <c r="F1418" s="27"/>
      <c r="G1418" s="141"/>
      <c r="H1418" s="141"/>
      <c r="I1418" s="551"/>
      <c r="J1418" s="552"/>
      <c r="K1418" s="33"/>
      <c r="L1418" s="145"/>
    </row>
    <row r="1419" spans="5:12" s="15" customFormat="1" ht="12.75" customHeight="1" x14ac:dyDescent="0.2">
      <c r="E1419" s="27"/>
      <c r="F1419" s="27"/>
      <c r="G1419" s="141"/>
      <c r="H1419" s="141"/>
      <c r="I1419" s="551"/>
      <c r="J1419" s="552"/>
      <c r="K1419" s="33"/>
      <c r="L1419" s="145"/>
    </row>
    <row r="1420" spans="5:12" s="15" customFormat="1" ht="12.75" customHeight="1" x14ac:dyDescent="0.2">
      <c r="E1420" s="27"/>
      <c r="F1420" s="27"/>
      <c r="G1420" s="141"/>
      <c r="H1420" s="141"/>
      <c r="I1420" s="551"/>
      <c r="J1420" s="552"/>
      <c r="K1420" s="33"/>
      <c r="L1420" s="145"/>
    </row>
    <row r="1421" spans="5:12" s="15" customFormat="1" ht="12.75" customHeight="1" x14ac:dyDescent="0.2">
      <c r="E1421" s="27"/>
      <c r="F1421" s="27"/>
      <c r="G1421" s="141"/>
      <c r="H1421" s="141"/>
      <c r="I1421" s="551"/>
      <c r="J1421" s="552"/>
      <c r="K1421" s="33"/>
      <c r="L1421" s="145"/>
    </row>
    <row r="1422" spans="5:12" s="15" customFormat="1" ht="12.75" customHeight="1" x14ac:dyDescent="0.2">
      <c r="E1422" s="27"/>
      <c r="F1422" s="27"/>
      <c r="G1422" s="141"/>
      <c r="H1422" s="141"/>
      <c r="I1422" s="551"/>
      <c r="J1422" s="552"/>
      <c r="K1422" s="33"/>
      <c r="L1422" s="145"/>
    </row>
    <row r="1423" spans="5:12" s="15" customFormat="1" ht="12.75" customHeight="1" x14ac:dyDescent="0.2">
      <c r="E1423" s="27"/>
      <c r="F1423" s="27"/>
      <c r="G1423" s="141"/>
      <c r="H1423" s="141"/>
      <c r="I1423" s="551"/>
      <c r="J1423" s="552"/>
      <c r="K1423" s="33"/>
      <c r="L1423" s="145"/>
    </row>
    <row r="1424" spans="5:12" s="15" customFormat="1" ht="12.75" customHeight="1" x14ac:dyDescent="0.2">
      <c r="E1424" s="27"/>
      <c r="F1424" s="27"/>
      <c r="G1424" s="141"/>
      <c r="H1424" s="141"/>
      <c r="I1424" s="551"/>
      <c r="J1424" s="552"/>
      <c r="K1424" s="33"/>
      <c r="L1424" s="145"/>
    </row>
    <row r="1425" spans="5:12" s="15" customFormat="1" ht="12.75" customHeight="1" x14ac:dyDescent="0.2">
      <c r="E1425" s="27"/>
      <c r="F1425" s="27"/>
      <c r="G1425" s="141"/>
      <c r="H1425" s="141"/>
      <c r="I1425" s="551"/>
      <c r="J1425" s="552"/>
      <c r="K1425" s="33"/>
      <c r="L1425" s="145"/>
    </row>
    <row r="1426" spans="5:12" s="15" customFormat="1" ht="12.75" customHeight="1" x14ac:dyDescent="0.2">
      <c r="E1426" s="27"/>
      <c r="F1426" s="27"/>
      <c r="G1426" s="141"/>
      <c r="H1426" s="141"/>
      <c r="I1426" s="551"/>
      <c r="J1426" s="552"/>
      <c r="K1426" s="33"/>
      <c r="L1426" s="145"/>
    </row>
    <row r="1427" spans="5:12" s="15" customFormat="1" ht="12.75" customHeight="1" x14ac:dyDescent="0.2">
      <c r="E1427" s="27"/>
      <c r="F1427" s="27"/>
      <c r="G1427" s="141"/>
      <c r="H1427" s="141"/>
      <c r="I1427" s="551"/>
      <c r="J1427" s="552"/>
      <c r="K1427" s="33"/>
      <c r="L1427" s="145"/>
    </row>
    <row r="1428" spans="5:12" s="15" customFormat="1" ht="12.75" customHeight="1" x14ac:dyDescent="0.2">
      <c r="E1428" s="27"/>
      <c r="F1428" s="27"/>
      <c r="G1428" s="141"/>
      <c r="H1428" s="141"/>
      <c r="I1428" s="551"/>
      <c r="J1428" s="552"/>
      <c r="K1428" s="33"/>
      <c r="L1428" s="145"/>
    </row>
    <row r="1429" spans="5:12" s="15" customFormat="1" ht="12.75" customHeight="1" x14ac:dyDescent="0.2">
      <c r="E1429" s="27"/>
      <c r="F1429" s="27"/>
      <c r="G1429" s="141"/>
      <c r="H1429" s="141"/>
      <c r="I1429" s="551"/>
      <c r="J1429" s="552"/>
      <c r="K1429" s="33"/>
      <c r="L1429" s="145"/>
    </row>
    <row r="1430" spans="5:12" s="15" customFormat="1" ht="12.75" customHeight="1" x14ac:dyDescent="0.2">
      <c r="E1430" s="27"/>
      <c r="F1430" s="27"/>
      <c r="G1430" s="141"/>
      <c r="H1430" s="141"/>
      <c r="I1430" s="551"/>
      <c r="J1430" s="552"/>
      <c r="K1430" s="33"/>
      <c r="L1430" s="145"/>
    </row>
    <row r="1431" spans="5:12" s="15" customFormat="1" ht="12.75" customHeight="1" x14ac:dyDescent="0.2">
      <c r="E1431" s="27"/>
      <c r="F1431" s="27"/>
      <c r="G1431" s="141"/>
      <c r="H1431" s="141"/>
      <c r="I1431" s="551"/>
      <c r="J1431" s="552"/>
      <c r="K1431" s="33"/>
      <c r="L1431" s="145"/>
    </row>
    <row r="1432" spans="5:12" s="15" customFormat="1" ht="12.75" customHeight="1" x14ac:dyDescent="0.2">
      <c r="E1432" s="27"/>
      <c r="F1432" s="27"/>
      <c r="G1432" s="141"/>
      <c r="H1432" s="141"/>
      <c r="I1432" s="551"/>
      <c r="J1432" s="552"/>
      <c r="K1432" s="33"/>
      <c r="L1432" s="145"/>
    </row>
    <row r="1433" spans="5:12" s="15" customFormat="1" ht="12.75" customHeight="1" x14ac:dyDescent="0.2">
      <c r="E1433" s="27"/>
      <c r="F1433" s="27"/>
      <c r="G1433" s="141"/>
      <c r="H1433" s="141"/>
      <c r="I1433" s="551"/>
      <c r="J1433" s="552"/>
      <c r="K1433" s="33"/>
      <c r="L1433" s="145"/>
    </row>
    <row r="1434" spans="5:12" s="15" customFormat="1" ht="12.75" customHeight="1" x14ac:dyDescent="0.2">
      <c r="E1434" s="27"/>
      <c r="F1434" s="27"/>
      <c r="G1434" s="141"/>
      <c r="H1434" s="141"/>
      <c r="I1434" s="551"/>
      <c r="J1434" s="552"/>
      <c r="K1434" s="33"/>
      <c r="L1434" s="145"/>
    </row>
    <row r="1435" spans="5:12" s="15" customFormat="1" ht="12.75" customHeight="1" x14ac:dyDescent="0.2">
      <c r="E1435" s="27"/>
      <c r="F1435" s="27"/>
      <c r="G1435" s="141"/>
      <c r="H1435" s="141"/>
      <c r="I1435" s="551"/>
      <c r="J1435" s="552"/>
      <c r="K1435" s="33"/>
      <c r="L1435" s="145"/>
    </row>
    <row r="1436" spans="5:12" s="15" customFormat="1" ht="12.75" customHeight="1" x14ac:dyDescent="0.2">
      <c r="E1436" s="27"/>
      <c r="F1436" s="27"/>
      <c r="G1436" s="141"/>
      <c r="H1436" s="141"/>
      <c r="I1436" s="551"/>
      <c r="J1436" s="552"/>
      <c r="K1436" s="33"/>
      <c r="L1436" s="145"/>
    </row>
    <row r="1437" spans="5:12" s="15" customFormat="1" ht="12.75" customHeight="1" x14ac:dyDescent="0.2">
      <c r="E1437" s="27"/>
      <c r="F1437" s="27"/>
      <c r="G1437" s="141"/>
      <c r="H1437" s="141"/>
      <c r="I1437" s="551"/>
      <c r="J1437" s="552"/>
      <c r="K1437" s="33"/>
      <c r="L1437" s="145"/>
    </row>
    <row r="1438" spans="5:12" s="15" customFormat="1" ht="12.75" customHeight="1" x14ac:dyDescent="0.2">
      <c r="E1438" s="27"/>
      <c r="F1438" s="27"/>
      <c r="G1438" s="141"/>
      <c r="H1438" s="141"/>
      <c r="I1438" s="551"/>
      <c r="J1438" s="552"/>
      <c r="K1438" s="33"/>
      <c r="L1438" s="145"/>
    </row>
    <row r="1439" spans="5:12" s="15" customFormat="1" ht="12.75" customHeight="1" x14ac:dyDescent="0.2">
      <c r="E1439" s="27"/>
      <c r="F1439" s="27"/>
      <c r="G1439" s="141"/>
      <c r="H1439" s="141"/>
      <c r="I1439" s="551"/>
      <c r="J1439" s="552"/>
      <c r="K1439" s="33"/>
      <c r="L1439" s="145"/>
    </row>
    <row r="1440" spans="5:12" s="15" customFormat="1" ht="12.75" customHeight="1" x14ac:dyDescent="0.2">
      <c r="E1440" s="27"/>
      <c r="F1440" s="27"/>
      <c r="G1440" s="141"/>
      <c r="H1440" s="141"/>
      <c r="I1440" s="551"/>
      <c r="J1440" s="552"/>
      <c r="K1440" s="33"/>
      <c r="L1440" s="145"/>
    </row>
    <row r="1441" spans="5:12" s="15" customFormat="1" ht="12.75" customHeight="1" x14ac:dyDescent="0.2">
      <c r="E1441" s="27"/>
      <c r="F1441" s="27"/>
      <c r="G1441" s="141"/>
      <c r="H1441" s="141"/>
      <c r="I1441" s="551"/>
      <c r="J1441" s="552"/>
      <c r="K1441" s="33"/>
      <c r="L1441" s="145"/>
    </row>
    <row r="1442" spans="5:12" s="15" customFormat="1" ht="12.75" customHeight="1" x14ac:dyDescent="0.2">
      <c r="E1442" s="27"/>
      <c r="F1442" s="27"/>
      <c r="G1442" s="141"/>
      <c r="H1442" s="141"/>
      <c r="I1442" s="551"/>
      <c r="J1442" s="552"/>
      <c r="K1442" s="33"/>
      <c r="L1442" s="145"/>
    </row>
    <row r="1443" spans="5:12" s="15" customFormat="1" ht="12.75" customHeight="1" x14ac:dyDescent="0.2">
      <c r="E1443" s="27"/>
      <c r="F1443" s="27"/>
      <c r="G1443" s="141"/>
      <c r="H1443" s="141"/>
      <c r="I1443" s="551"/>
      <c r="J1443" s="552"/>
      <c r="K1443" s="33"/>
      <c r="L1443" s="145"/>
    </row>
    <row r="1444" spans="5:12" s="15" customFormat="1" ht="12.75" customHeight="1" x14ac:dyDescent="0.2">
      <c r="E1444" s="27"/>
      <c r="F1444" s="27"/>
      <c r="G1444" s="141"/>
      <c r="H1444" s="141"/>
      <c r="I1444" s="551"/>
      <c r="J1444" s="552"/>
      <c r="K1444" s="33"/>
      <c r="L1444" s="145"/>
    </row>
    <row r="1445" spans="5:12" s="15" customFormat="1" ht="12.75" customHeight="1" x14ac:dyDescent="0.2">
      <c r="E1445" s="27"/>
      <c r="F1445" s="27"/>
      <c r="G1445" s="141"/>
      <c r="H1445" s="141"/>
      <c r="I1445" s="551"/>
      <c r="J1445" s="552"/>
      <c r="K1445" s="33"/>
      <c r="L1445" s="145"/>
    </row>
    <row r="1446" spans="5:12" s="15" customFormat="1" ht="12.75" customHeight="1" x14ac:dyDescent="0.2">
      <c r="E1446" s="27"/>
      <c r="F1446" s="27"/>
      <c r="G1446" s="141"/>
      <c r="H1446" s="141"/>
      <c r="I1446" s="551"/>
      <c r="J1446" s="552"/>
      <c r="K1446" s="33"/>
      <c r="L1446" s="145"/>
    </row>
    <row r="1447" spans="5:12" s="15" customFormat="1" ht="12.75" customHeight="1" x14ac:dyDescent="0.2">
      <c r="E1447" s="27"/>
      <c r="F1447" s="27"/>
      <c r="G1447" s="141"/>
      <c r="H1447" s="141"/>
      <c r="I1447" s="551"/>
      <c r="J1447" s="552"/>
      <c r="K1447" s="33"/>
      <c r="L1447" s="145"/>
    </row>
    <row r="1448" spans="5:12" s="15" customFormat="1" ht="12.75" customHeight="1" x14ac:dyDescent="0.2">
      <c r="E1448" s="27"/>
      <c r="F1448" s="27"/>
      <c r="G1448" s="141"/>
      <c r="H1448" s="141"/>
      <c r="I1448" s="551"/>
      <c r="J1448" s="552"/>
      <c r="K1448" s="33"/>
      <c r="L1448" s="145"/>
    </row>
    <row r="1449" spans="5:12" s="15" customFormat="1" ht="12.75" customHeight="1" x14ac:dyDescent="0.2">
      <c r="E1449" s="27"/>
      <c r="F1449" s="27"/>
      <c r="G1449" s="141"/>
      <c r="H1449" s="141"/>
      <c r="I1449" s="551"/>
      <c r="J1449" s="552"/>
      <c r="K1449" s="33"/>
      <c r="L1449" s="145"/>
    </row>
    <row r="1450" spans="5:12" s="15" customFormat="1" ht="12.75" customHeight="1" x14ac:dyDescent="0.2">
      <c r="E1450" s="27"/>
      <c r="F1450" s="27"/>
      <c r="G1450" s="141"/>
      <c r="H1450" s="141"/>
      <c r="I1450" s="551"/>
      <c r="J1450" s="552"/>
      <c r="K1450" s="33"/>
      <c r="L1450" s="145"/>
    </row>
    <row r="1451" spans="5:12" s="15" customFormat="1" ht="12.75" customHeight="1" x14ac:dyDescent="0.2">
      <c r="E1451" s="27"/>
      <c r="F1451" s="27"/>
      <c r="G1451" s="141"/>
      <c r="H1451" s="141"/>
      <c r="I1451" s="551"/>
      <c r="J1451" s="552"/>
      <c r="K1451" s="33"/>
      <c r="L1451" s="145"/>
    </row>
    <row r="1452" spans="5:12" s="15" customFormat="1" ht="12.75" customHeight="1" x14ac:dyDescent="0.2">
      <c r="E1452" s="27"/>
      <c r="F1452" s="27"/>
      <c r="G1452" s="141"/>
      <c r="H1452" s="141"/>
      <c r="I1452" s="551"/>
      <c r="J1452" s="552"/>
      <c r="K1452" s="33"/>
      <c r="L1452" s="145"/>
    </row>
    <row r="1453" spans="5:12" s="15" customFormat="1" ht="12.75" customHeight="1" x14ac:dyDescent="0.2">
      <c r="E1453" s="27"/>
      <c r="F1453" s="27"/>
      <c r="G1453" s="141"/>
      <c r="H1453" s="141"/>
      <c r="I1453" s="551"/>
      <c r="J1453" s="552"/>
      <c r="K1453" s="33"/>
      <c r="L1453" s="145"/>
    </row>
    <row r="1454" spans="5:12" s="15" customFormat="1" ht="12.75" customHeight="1" x14ac:dyDescent="0.2">
      <c r="E1454" s="27"/>
      <c r="F1454" s="27"/>
      <c r="G1454" s="141"/>
      <c r="H1454" s="141"/>
      <c r="I1454" s="551"/>
      <c r="J1454" s="552"/>
      <c r="K1454" s="33"/>
      <c r="L1454" s="145"/>
    </row>
    <row r="1455" spans="5:12" s="15" customFormat="1" ht="12.75" customHeight="1" x14ac:dyDescent="0.2">
      <c r="E1455" s="27"/>
      <c r="F1455" s="27"/>
      <c r="G1455" s="141"/>
      <c r="H1455" s="141"/>
      <c r="I1455" s="551"/>
      <c r="J1455" s="552"/>
      <c r="K1455" s="33"/>
      <c r="L1455" s="145"/>
    </row>
    <row r="1456" spans="5:12" s="15" customFormat="1" ht="12.75" customHeight="1" x14ac:dyDescent="0.2">
      <c r="E1456" s="27"/>
      <c r="F1456" s="27"/>
      <c r="G1456" s="141"/>
      <c r="H1456" s="141"/>
      <c r="I1456" s="551"/>
      <c r="J1456" s="552"/>
      <c r="K1456" s="33"/>
      <c r="L1456" s="145"/>
    </row>
    <row r="1457" spans="5:12" s="15" customFormat="1" ht="12.75" customHeight="1" x14ac:dyDescent="0.2">
      <c r="E1457" s="27"/>
      <c r="F1457" s="27"/>
      <c r="G1457" s="141"/>
      <c r="H1457" s="141"/>
      <c r="I1457" s="551"/>
      <c r="J1457" s="552"/>
      <c r="K1457" s="33"/>
      <c r="L1457" s="145"/>
    </row>
    <row r="1458" spans="5:12" s="15" customFormat="1" ht="12.75" customHeight="1" x14ac:dyDescent="0.2">
      <c r="E1458" s="27"/>
      <c r="F1458" s="27"/>
      <c r="G1458" s="141"/>
      <c r="H1458" s="141"/>
      <c r="I1458" s="551"/>
      <c r="J1458" s="552"/>
      <c r="K1458" s="33"/>
      <c r="L1458" s="145"/>
    </row>
    <row r="1459" spans="5:12" s="15" customFormat="1" ht="12.75" customHeight="1" x14ac:dyDescent="0.2">
      <c r="E1459" s="27"/>
      <c r="F1459" s="27"/>
      <c r="G1459" s="141"/>
      <c r="H1459" s="141"/>
      <c r="I1459" s="551"/>
      <c r="J1459" s="552"/>
      <c r="K1459" s="33"/>
      <c r="L1459" s="145"/>
    </row>
    <row r="1460" spans="5:12" s="15" customFormat="1" ht="12.75" customHeight="1" x14ac:dyDescent="0.2">
      <c r="E1460" s="27"/>
      <c r="F1460" s="27"/>
      <c r="G1460" s="141"/>
      <c r="H1460" s="141"/>
      <c r="I1460" s="551"/>
      <c r="J1460" s="552"/>
      <c r="K1460" s="33"/>
      <c r="L1460" s="145"/>
    </row>
    <row r="1461" spans="5:12" s="15" customFormat="1" ht="12.75" customHeight="1" x14ac:dyDescent="0.2">
      <c r="E1461" s="27"/>
      <c r="F1461" s="27"/>
      <c r="G1461" s="141"/>
      <c r="H1461" s="141"/>
      <c r="I1461" s="551"/>
      <c r="J1461" s="552"/>
      <c r="K1461" s="33"/>
      <c r="L1461" s="145"/>
    </row>
    <row r="1462" spans="5:12" s="15" customFormat="1" ht="12.75" customHeight="1" x14ac:dyDescent="0.2">
      <c r="E1462" s="27"/>
      <c r="F1462" s="27"/>
      <c r="G1462" s="141"/>
      <c r="H1462" s="141"/>
      <c r="I1462" s="551"/>
      <c r="J1462" s="552"/>
      <c r="K1462" s="33"/>
      <c r="L1462" s="145"/>
    </row>
    <row r="1463" spans="5:12" s="15" customFormat="1" ht="12.75" customHeight="1" x14ac:dyDescent="0.2">
      <c r="E1463" s="27"/>
      <c r="F1463" s="27"/>
      <c r="G1463" s="141"/>
      <c r="H1463" s="141"/>
      <c r="I1463" s="551"/>
      <c r="J1463" s="552"/>
      <c r="K1463" s="33"/>
      <c r="L1463" s="145"/>
    </row>
    <row r="1464" spans="5:12" s="15" customFormat="1" ht="12.75" customHeight="1" x14ac:dyDescent="0.2">
      <c r="E1464" s="27"/>
      <c r="F1464" s="27"/>
      <c r="G1464" s="141"/>
      <c r="H1464" s="141"/>
      <c r="I1464" s="551"/>
      <c r="J1464" s="552"/>
      <c r="K1464" s="33"/>
      <c r="L1464" s="145"/>
    </row>
    <row r="1465" spans="5:12" s="15" customFormat="1" ht="12.75" customHeight="1" x14ac:dyDescent="0.2">
      <c r="E1465" s="27"/>
      <c r="F1465" s="27"/>
      <c r="G1465" s="141"/>
      <c r="H1465" s="141"/>
      <c r="I1465" s="551"/>
      <c r="J1465" s="552"/>
      <c r="K1465" s="33"/>
      <c r="L1465" s="145"/>
    </row>
    <row r="1466" spans="5:12" s="15" customFormat="1" ht="12.75" customHeight="1" x14ac:dyDescent="0.2">
      <c r="E1466" s="27"/>
      <c r="F1466" s="27"/>
      <c r="G1466" s="141"/>
      <c r="H1466" s="141"/>
      <c r="I1466" s="551"/>
      <c r="J1466" s="552"/>
      <c r="K1466" s="33"/>
      <c r="L1466" s="145"/>
    </row>
    <row r="1467" spans="5:12" s="15" customFormat="1" ht="12.75" customHeight="1" x14ac:dyDescent="0.2">
      <c r="E1467" s="27"/>
      <c r="F1467" s="27"/>
      <c r="G1467" s="141"/>
      <c r="H1467" s="141"/>
      <c r="I1467" s="551"/>
      <c r="J1467" s="552"/>
      <c r="K1467" s="33"/>
      <c r="L1467" s="145"/>
    </row>
    <row r="1468" spans="5:12" s="15" customFormat="1" ht="12.75" customHeight="1" x14ac:dyDescent="0.2">
      <c r="E1468" s="27"/>
      <c r="F1468" s="27"/>
      <c r="G1468" s="141"/>
      <c r="H1468" s="141"/>
      <c r="I1468" s="551"/>
      <c r="J1468" s="552"/>
      <c r="K1468" s="33"/>
      <c r="L1468" s="145"/>
    </row>
    <row r="1469" spans="5:12" s="15" customFormat="1" ht="12.75" customHeight="1" x14ac:dyDescent="0.2">
      <c r="E1469" s="27"/>
      <c r="F1469" s="27"/>
      <c r="G1469" s="141"/>
      <c r="H1469" s="141"/>
      <c r="I1469" s="551"/>
      <c r="J1469" s="552"/>
      <c r="K1469" s="33"/>
      <c r="L1469" s="145"/>
    </row>
    <row r="1470" spans="5:12" s="15" customFormat="1" ht="12.75" customHeight="1" x14ac:dyDescent="0.2">
      <c r="E1470" s="27"/>
      <c r="F1470" s="27"/>
      <c r="G1470" s="141"/>
      <c r="H1470" s="141"/>
      <c r="I1470" s="551"/>
      <c r="J1470" s="552"/>
      <c r="K1470" s="33"/>
      <c r="L1470" s="145"/>
    </row>
    <row r="1471" spans="5:12" s="15" customFormat="1" ht="12.75" customHeight="1" x14ac:dyDescent="0.2">
      <c r="E1471" s="27"/>
      <c r="F1471" s="27"/>
      <c r="G1471" s="141"/>
      <c r="H1471" s="141"/>
      <c r="I1471" s="551"/>
      <c r="J1471" s="552"/>
      <c r="K1471" s="33"/>
      <c r="L1471" s="145"/>
    </row>
    <row r="1472" spans="5:12" s="15" customFormat="1" ht="12.75" customHeight="1" x14ac:dyDescent="0.2">
      <c r="E1472" s="27"/>
      <c r="F1472" s="27"/>
      <c r="G1472" s="141"/>
      <c r="H1472" s="141"/>
      <c r="I1472" s="551"/>
      <c r="J1472" s="552"/>
      <c r="K1472" s="33"/>
      <c r="L1472" s="145"/>
    </row>
    <row r="1473" spans="5:12" s="15" customFormat="1" ht="12.75" customHeight="1" x14ac:dyDescent="0.2">
      <c r="E1473" s="27"/>
      <c r="F1473" s="27"/>
      <c r="G1473" s="141"/>
      <c r="H1473" s="141"/>
      <c r="I1473" s="551"/>
      <c r="J1473" s="552"/>
      <c r="K1473" s="33"/>
      <c r="L1473" s="145"/>
    </row>
    <row r="1474" spans="5:12" s="15" customFormat="1" ht="12.75" customHeight="1" x14ac:dyDescent="0.2">
      <c r="E1474" s="27"/>
      <c r="F1474" s="27"/>
      <c r="G1474" s="141"/>
      <c r="H1474" s="141"/>
      <c r="I1474" s="551"/>
      <c r="J1474" s="552"/>
      <c r="K1474" s="33"/>
      <c r="L1474" s="145"/>
    </row>
    <row r="1475" spans="5:12" s="15" customFormat="1" ht="12.75" customHeight="1" x14ac:dyDescent="0.2">
      <c r="E1475" s="27"/>
      <c r="F1475" s="27"/>
      <c r="G1475" s="141"/>
      <c r="H1475" s="141"/>
      <c r="I1475" s="551"/>
      <c r="J1475" s="552"/>
      <c r="K1475" s="33"/>
      <c r="L1475" s="145"/>
    </row>
    <row r="1476" spans="5:12" s="15" customFormat="1" ht="12.75" customHeight="1" x14ac:dyDescent="0.2">
      <c r="E1476" s="27"/>
      <c r="F1476" s="27"/>
      <c r="G1476" s="141"/>
      <c r="H1476" s="141"/>
      <c r="I1476" s="551"/>
      <c r="J1476" s="552"/>
      <c r="K1476" s="33"/>
      <c r="L1476" s="145"/>
    </row>
    <row r="1477" spans="5:12" s="15" customFormat="1" ht="12.75" customHeight="1" x14ac:dyDescent="0.2">
      <c r="E1477" s="27"/>
      <c r="F1477" s="27"/>
      <c r="G1477" s="141"/>
      <c r="H1477" s="141"/>
      <c r="I1477" s="551"/>
      <c r="J1477" s="552"/>
      <c r="K1477" s="33"/>
      <c r="L1477" s="145"/>
    </row>
    <row r="1478" spans="5:12" s="15" customFormat="1" ht="12.75" customHeight="1" x14ac:dyDescent="0.2">
      <c r="E1478" s="27"/>
      <c r="F1478" s="27"/>
      <c r="G1478" s="141"/>
      <c r="H1478" s="141"/>
      <c r="I1478" s="551"/>
      <c r="J1478" s="552"/>
      <c r="K1478" s="33"/>
      <c r="L1478" s="145"/>
    </row>
    <row r="1479" spans="5:12" s="15" customFormat="1" ht="12.75" customHeight="1" x14ac:dyDescent="0.2">
      <c r="E1479" s="27"/>
      <c r="F1479" s="27"/>
      <c r="G1479" s="141"/>
      <c r="H1479" s="141"/>
      <c r="I1479" s="551"/>
      <c r="J1479" s="552"/>
      <c r="K1479" s="33"/>
      <c r="L1479" s="145"/>
    </row>
    <row r="1480" spans="5:12" s="15" customFormat="1" ht="12.75" customHeight="1" x14ac:dyDescent="0.2">
      <c r="E1480" s="27"/>
      <c r="F1480" s="27"/>
      <c r="G1480" s="141"/>
      <c r="H1480" s="141"/>
      <c r="I1480" s="551"/>
      <c r="J1480" s="552"/>
      <c r="K1480" s="33"/>
      <c r="L1480" s="145"/>
    </row>
    <row r="1481" spans="5:12" s="15" customFormat="1" ht="12.75" customHeight="1" x14ac:dyDescent="0.2">
      <c r="E1481" s="27"/>
      <c r="F1481" s="27"/>
      <c r="G1481" s="141"/>
      <c r="H1481" s="141"/>
      <c r="I1481" s="551"/>
      <c r="J1481" s="552"/>
      <c r="K1481" s="33"/>
      <c r="L1481" s="145"/>
    </row>
    <row r="1482" spans="5:12" s="15" customFormat="1" ht="12.75" customHeight="1" x14ac:dyDescent="0.2">
      <c r="E1482" s="27"/>
      <c r="F1482" s="27"/>
      <c r="G1482" s="141"/>
      <c r="H1482" s="141"/>
      <c r="I1482" s="551"/>
      <c r="J1482" s="552"/>
      <c r="K1482" s="33"/>
      <c r="L1482" s="145"/>
    </row>
    <row r="1483" spans="5:12" s="15" customFormat="1" ht="12.75" customHeight="1" x14ac:dyDescent="0.2">
      <c r="E1483" s="27"/>
      <c r="F1483" s="27"/>
      <c r="G1483" s="141"/>
      <c r="H1483" s="141"/>
      <c r="I1483" s="551"/>
      <c r="J1483" s="552"/>
      <c r="K1483" s="33"/>
      <c r="L1483" s="145"/>
    </row>
    <row r="1484" spans="5:12" s="15" customFormat="1" ht="12.75" customHeight="1" x14ac:dyDescent="0.2">
      <c r="E1484" s="27"/>
      <c r="F1484" s="27"/>
      <c r="G1484" s="141"/>
      <c r="H1484" s="141"/>
      <c r="I1484" s="551"/>
      <c r="J1484" s="552"/>
      <c r="K1484" s="33"/>
      <c r="L1484" s="145"/>
    </row>
    <row r="1485" spans="5:12" s="15" customFormat="1" ht="12.75" customHeight="1" x14ac:dyDescent="0.2">
      <c r="E1485" s="27"/>
      <c r="F1485" s="27"/>
      <c r="G1485" s="141"/>
      <c r="H1485" s="141"/>
      <c r="I1485" s="551"/>
      <c r="J1485" s="552"/>
      <c r="K1485" s="33"/>
      <c r="L1485" s="145"/>
    </row>
    <row r="1486" spans="5:12" s="15" customFormat="1" ht="12.75" customHeight="1" x14ac:dyDescent="0.2">
      <c r="E1486" s="27"/>
      <c r="F1486" s="27"/>
      <c r="G1486" s="141"/>
      <c r="H1486" s="141"/>
      <c r="I1486" s="551"/>
      <c r="J1486" s="552"/>
      <c r="K1486" s="33"/>
      <c r="L1486" s="145"/>
    </row>
    <row r="1487" spans="5:12" s="15" customFormat="1" ht="12.75" customHeight="1" x14ac:dyDescent="0.2">
      <c r="E1487" s="27"/>
      <c r="F1487" s="27"/>
      <c r="G1487" s="141"/>
      <c r="H1487" s="141"/>
      <c r="I1487" s="551"/>
      <c r="J1487" s="552"/>
      <c r="K1487" s="33"/>
      <c r="L1487" s="145"/>
    </row>
    <row r="1488" spans="5:12" s="15" customFormat="1" ht="12.75" customHeight="1" x14ac:dyDescent="0.2">
      <c r="E1488" s="27"/>
      <c r="F1488" s="27"/>
      <c r="G1488" s="141"/>
      <c r="H1488" s="141"/>
      <c r="I1488" s="551"/>
      <c r="J1488" s="552"/>
      <c r="K1488" s="33"/>
      <c r="L1488" s="145"/>
    </row>
    <row r="1489" spans="5:12" s="15" customFormat="1" ht="12.75" customHeight="1" x14ac:dyDescent="0.2">
      <c r="E1489" s="27"/>
      <c r="F1489" s="27"/>
      <c r="G1489" s="141"/>
      <c r="H1489" s="141"/>
      <c r="I1489" s="551"/>
      <c r="J1489" s="552"/>
      <c r="K1489" s="33"/>
      <c r="L1489" s="145"/>
    </row>
    <row r="1490" spans="5:12" s="15" customFormat="1" ht="12.75" customHeight="1" x14ac:dyDescent="0.2">
      <c r="E1490" s="27"/>
      <c r="F1490" s="27"/>
      <c r="G1490" s="141"/>
      <c r="H1490" s="141"/>
      <c r="I1490" s="551"/>
      <c r="J1490" s="552"/>
      <c r="K1490" s="33"/>
      <c r="L1490" s="145"/>
    </row>
    <row r="1491" spans="5:12" s="15" customFormat="1" ht="12.75" customHeight="1" x14ac:dyDescent="0.2">
      <c r="E1491" s="27"/>
      <c r="F1491" s="27"/>
      <c r="G1491" s="141"/>
      <c r="H1491" s="141"/>
      <c r="I1491" s="551"/>
      <c r="J1491" s="552"/>
      <c r="K1491" s="33"/>
      <c r="L1491" s="145"/>
    </row>
    <row r="1492" spans="5:12" s="15" customFormat="1" ht="12.75" customHeight="1" x14ac:dyDescent="0.2">
      <c r="E1492" s="27"/>
      <c r="F1492" s="27"/>
      <c r="G1492" s="141"/>
      <c r="H1492" s="141"/>
      <c r="I1492" s="551"/>
      <c r="J1492" s="552"/>
      <c r="K1492" s="33"/>
      <c r="L1492" s="145"/>
    </row>
    <row r="1493" spans="5:12" s="15" customFormat="1" ht="12.75" customHeight="1" x14ac:dyDescent="0.2">
      <c r="E1493" s="27"/>
      <c r="F1493" s="27"/>
      <c r="G1493" s="141"/>
      <c r="H1493" s="141"/>
      <c r="I1493" s="551"/>
      <c r="J1493" s="552"/>
      <c r="K1493" s="33"/>
      <c r="L1493" s="145"/>
    </row>
    <row r="1494" spans="5:12" s="15" customFormat="1" ht="12.75" customHeight="1" x14ac:dyDescent="0.2">
      <c r="E1494" s="27"/>
      <c r="F1494" s="27"/>
      <c r="G1494" s="141"/>
      <c r="H1494" s="141"/>
      <c r="I1494" s="551"/>
      <c r="J1494" s="552"/>
      <c r="K1494" s="33"/>
      <c r="L1494" s="145"/>
    </row>
    <row r="1495" spans="5:12" s="15" customFormat="1" ht="12.75" customHeight="1" x14ac:dyDescent="0.2">
      <c r="E1495" s="27"/>
      <c r="F1495" s="27"/>
      <c r="G1495" s="141"/>
      <c r="H1495" s="141"/>
      <c r="I1495" s="551"/>
      <c r="J1495" s="552"/>
      <c r="K1495" s="33"/>
      <c r="L1495" s="145"/>
    </row>
    <row r="1496" spans="5:12" s="15" customFormat="1" ht="12.75" customHeight="1" x14ac:dyDescent="0.2">
      <c r="E1496" s="27"/>
      <c r="F1496" s="27"/>
      <c r="G1496" s="141"/>
      <c r="H1496" s="141"/>
      <c r="I1496" s="551"/>
      <c r="J1496" s="552"/>
      <c r="K1496" s="33"/>
      <c r="L1496" s="145"/>
    </row>
    <row r="1497" spans="5:12" s="15" customFormat="1" ht="12.75" customHeight="1" x14ac:dyDescent="0.2">
      <c r="E1497" s="27"/>
      <c r="F1497" s="27"/>
      <c r="G1497" s="141"/>
      <c r="H1497" s="141"/>
      <c r="I1497" s="551"/>
      <c r="J1497" s="552"/>
      <c r="K1497" s="33"/>
      <c r="L1497" s="145"/>
    </row>
    <row r="1498" spans="5:12" s="15" customFormat="1" ht="12.75" customHeight="1" x14ac:dyDescent="0.2">
      <c r="E1498" s="27"/>
      <c r="F1498" s="27"/>
      <c r="G1498" s="141"/>
      <c r="H1498" s="141"/>
      <c r="I1498" s="551"/>
      <c r="J1498" s="552"/>
      <c r="K1498" s="33"/>
      <c r="L1498" s="145"/>
    </row>
    <row r="1499" spans="5:12" s="15" customFormat="1" ht="12.75" customHeight="1" x14ac:dyDescent="0.2">
      <c r="E1499" s="27"/>
      <c r="F1499" s="27"/>
      <c r="G1499" s="141"/>
      <c r="H1499" s="141"/>
      <c r="I1499" s="551"/>
      <c r="J1499" s="552"/>
      <c r="K1499" s="33"/>
      <c r="L1499" s="145"/>
    </row>
    <row r="1500" spans="5:12" s="15" customFormat="1" ht="12.75" customHeight="1" x14ac:dyDescent="0.2">
      <c r="E1500" s="27"/>
      <c r="F1500" s="27"/>
      <c r="G1500" s="141"/>
      <c r="H1500" s="141"/>
      <c r="I1500" s="551"/>
      <c r="J1500" s="552"/>
      <c r="K1500" s="33"/>
      <c r="L1500" s="145"/>
    </row>
    <row r="1501" spans="5:12" s="15" customFormat="1" ht="12.75" customHeight="1" x14ac:dyDescent="0.2">
      <c r="E1501" s="27"/>
      <c r="F1501" s="27"/>
      <c r="G1501" s="141"/>
      <c r="H1501" s="141"/>
      <c r="I1501" s="551"/>
      <c r="J1501" s="552"/>
      <c r="K1501" s="33"/>
      <c r="L1501" s="145"/>
    </row>
    <row r="1502" spans="5:12" s="15" customFormat="1" ht="12.75" customHeight="1" x14ac:dyDescent="0.2">
      <c r="E1502" s="27"/>
      <c r="F1502" s="27"/>
      <c r="G1502" s="141"/>
      <c r="H1502" s="141"/>
      <c r="I1502" s="551"/>
      <c r="J1502" s="552"/>
      <c r="K1502" s="33"/>
      <c r="L1502" s="145"/>
    </row>
    <row r="1503" spans="5:12" s="15" customFormat="1" ht="12.75" customHeight="1" x14ac:dyDescent="0.2">
      <c r="E1503" s="27"/>
      <c r="F1503" s="27"/>
      <c r="G1503" s="141"/>
      <c r="H1503" s="141"/>
      <c r="I1503" s="551"/>
      <c r="J1503" s="552"/>
      <c r="K1503" s="33"/>
      <c r="L1503" s="145"/>
    </row>
    <row r="1504" spans="5:12" s="15" customFormat="1" ht="12.75" customHeight="1" x14ac:dyDescent="0.2">
      <c r="E1504" s="27"/>
      <c r="F1504" s="27"/>
      <c r="G1504" s="141"/>
      <c r="H1504" s="141"/>
      <c r="I1504" s="551"/>
      <c r="J1504" s="552"/>
      <c r="K1504" s="33"/>
      <c r="L1504" s="145"/>
    </row>
    <row r="1505" spans="5:12" s="15" customFormat="1" ht="12.75" customHeight="1" x14ac:dyDescent="0.2">
      <c r="E1505" s="27"/>
      <c r="F1505" s="27"/>
      <c r="G1505" s="141"/>
      <c r="H1505" s="141"/>
      <c r="I1505" s="551"/>
      <c r="J1505" s="552"/>
      <c r="K1505" s="33"/>
      <c r="L1505" s="145"/>
    </row>
    <row r="1506" spans="5:12" s="15" customFormat="1" ht="12.75" customHeight="1" x14ac:dyDescent="0.2">
      <c r="E1506" s="27"/>
      <c r="F1506" s="27"/>
      <c r="G1506" s="141"/>
      <c r="H1506" s="141"/>
      <c r="I1506" s="551"/>
      <c r="J1506" s="552"/>
      <c r="K1506" s="33"/>
      <c r="L1506" s="145"/>
    </row>
    <row r="1507" spans="5:12" s="15" customFormat="1" ht="12.75" customHeight="1" x14ac:dyDescent="0.2">
      <c r="E1507" s="27"/>
      <c r="F1507" s="27"/>
      <c r="G1507" s="141"/>
      <c r="H1507" s="141"/>
      <c r="I1507" s="551"/>
      <c r="J1507" s="552"/>
      <c r="K1507" s="33"/>
      <c r="L1507" s="145"/>
    </row>
    <row r="1508" spans="5:12" s="15" customFormat="1" ht="12.75" customHeight="1" x14ac:dyDescent="0.2">
      <c r="E1508" s="27"/>
      <c r="F1508" s="27"/>
      <c r="G1508" s="141"/>
      <c r="H1508" s="141"/>
      <c r="I1508" s="551"/>
      <c r="J1508" s="552"/>
      <c r="K1508" s="33"/>
      <c r="L1508" s="145"/>
    </row>
    <row r="1509" spans="5:12" s="15" customFormat="1" ht="12.75" customHeight="1" x14ac:dyDescent="0.2">
      <c r="E1509" s="27"/>
      <c r="F1509" s="27"/>
      <c r="G1509" s="141"/>
      <c r="H1509" s="141"/>
      <c r="I1509" s="551"/>
      <c r="J1509" s="552"/>
      <c r="K1509" s="33"/>
      <c r="L1509" s="145"/>
    </row>
    <row r="1510" spans="5:12" s="15" customFormat="1" ht="12.75" customHeight="1" x14ac:dyDescent="0.2">
      <c r="E1510" s="27"/>
      <c r="F1510" s="27"/>
      <c r="G1510" s="141"/>
      <c r="H1510" s="141"/>
      <c r="I1510" s="551"/>
      <c r="J1510" s="552"/>
      <c r="K1510" s="33"/>
      <c r="L1510" s="145"/>
    </row>
    <row r="1511" spans="5:12" s="15" customFormat="1" ht="12.75" customHeight="1" x14ac:dyDescent="0.2">
      <c r="E1511" s="27"/>
      <c r="F1511" s="27"/>
      <c r="G1511" s="141"/>
      <c r="H1511" s="141"/>
      <c r="I1511" s="551"/>
      <c r="J1511" s="552"/>
      <c r="K1511" s="33"/>
      <c r="L1511" s="145"/>
    </row>
    <row r="1512" spans="5:12" s="15" customFormat="1" ht="12.75" customHeight="1" x14ac:dyDescent="0.2">
      <c r="E1512" s="27"/>
      <c r="F1512" s="27"/>
      <c r="G1512" s="141"/>
      <c r="H1512" s="141"/>
      <c r="I1512" s="551"/>
      <c r="J1512" s="552"/>
      <c r="K1512" s="33"/>
      <c r="L1512" s="145"/>
    </row>
    <row r="1513" spans="5:12" s="15" customFormat="1" ht="12.75" customHeight="1" x14ac:dyDescent="0.2">
      <c r="E1513" s="27"/>
      <c r="F1513" s="27"/>
      <c r="G1513" s="141"/>
      <c r="H1513" s="141"/>
      <c r="I1513" s="551"/>
      <c r="J1513" s="552"/>
      <c r="K1513" s="33"/>
      <c r="L1513" s="145"/>
    </row>
    <row r="1514" spans="5:12" s="15" customFormat="1" ht="12.75" customHeight="1" x14ac:dyDescent="0.2">
      <c r="E1514" s="27"/>
      <c r="F1514" s="27"/>
      <c r="G1514" s="141"/>
      <c r="H1514" s="141"/>
      <c r="I1514" s="551"/>
      <c r="J1514" s="552"/>
      <c r="K1514" s="33"/>
      <c r="L1514" s="145"/>
    </row>
    <row r="1515" spans="5:12" s="15" customFormat="1" ht="12.75" customHeight="1" x14ac:dyDescent="0.2">
      <c r="E1515" s="27"/>
      <c r="F1515" s="27"/>
      <c r="G1515" s="141"/>
      <c r="H1515" s="141"/>
      <c r="I1515" s="551"/>
      <c r="J1515" s="552"/>
      <c r="K1515" s="33"/>
      <c r="L1515" s="145"/>
    </row>
    <row r="1516" spans="5:12" s="15" customFormat="1" ht="12.75" customHeight="1" x14ac:dyDescent="0.2">
      <c r="E1516" s="27"/>
      <c r="F1516" s="27"/>
      <c r="G1516" s="141"/>
      <c r="H1516" s="141"/>
      <c r="I1516" s="551"/>
      <c r="J1516" s="552"/>
      <c r="K1516" s="33"/>
      <c r="L1516" s="145"/>
    </row>
    <row r="1517" spans="5:12" s="15" customFormat="1" ht="12.75" customHeight="1" x14ac:dyDescent="0.2">
      <c r="E1517" s="27"/>
      <c r="F1517" s="27"/>
      <c r="G1517" s="141"/>
      <c r="H1517" s="141"/>
      <c r="I1517" s="551"/>
      <c r="J1517" s="552"/>
      <c r="K1517" s="33"/>
      <c r="L1517" s="145"/>
    </row>
    <row r="1518" spans="5:12" s="15" customFormat="1" ht="12.75" customHeight="1" x14ac:dyDescent="0.2">
      <c r="E1518" s="27"/>
      <c r="F1518" s="27"/>
      <c r="G1518" s="141"/>
      <c r="H1518" s="141"/>
      <c r="I1518" s="551"/>
      <c r="J1518" s="552"/>
      <c r="K1518" s="33"/>
      <c r="L1518" s="145"/>
    </row>
    <row r="1519" spans="5:12" s="15" customFormat="1" ht="12.75" customHeight="1" x14ac:dyDescent="0.2">
      <c r="E1519" s="27"/>
      <c r="F1519" s="27"/>
      <c r="G1519" s="141"/>
      <c r="H1519" s="141"/>
      <c r="I1519" s="551"/>
      <c r="J1519" s="552"/>
      <c r="K1519" s="33"/>
      <c r="L1519" s="145"/>
    </row>
    <row r="1520" spans="5:12" s="15" customFormat="1" ht="12.75" customHeight="1" x14ac:dyDescent="0.2">
      <c r="E1520" s="27"/>
      <c r="F1520" s="27"/>
      <c r="G1520" s="141"/>
      <c r="H1520" s="141"/>
      <c r="I1520" s="551"/>
      <c r="J1520" s="552"/>
      <c r="K1520" s="33"/>
      <c r="L1520" s="145"/>
    </row>
    <row r="1521" spans="5:12" s="15" customFormat="1" ht="12.75" customHeight="1" x14ac:dyDescent="0.2">
      <c r="E1521" s="27"/>
      <c r="F1521" s="27"/>
      <c r="G1521" s="141"/>
      <c r="H1521" s="141"/>
      <c r="I1521" s="551"/>
      <c r="J1521" s="552"/>
      <c r="K1521" s="33"/>
      <c r="L1521" s="145"/>
    </row>
    <row r="1522" spans="5:12" s="15" customFormat="1" ht="12.75" customHeight="1" x14ac:dyDescent="0.2">
      <c r="E1522" s="27"/>
      <c r="F1522" s="27"/>
      <c r="G1522" s="141"/>
      <c r="H1522" s="141"/>
      <c r="I1522" s="551"/>
      <c r="J1522" s="552"/>
      <c r="K1522" s="33"/>
      <c r="L1522" s="145"/>
    </row>
    <row r="1523" spans="5:12" s="15" customFormat="1" ht="12.75" customHeight="1" x14ac:dyDescent="0.2">
      <c r="E1523" s="27"/>
      <c r="F1523" s="27"/>
      <c r="G1523" s="141"/>
      <c r="H1523" s="141"/>
      <c r="I1523" s="551"/>
      <c r="J1523" s="552"/>
      <c r="K1523" s="33"/>
      <c r="L1523" s="145"/>
    </row>
    <row r="1524" spans="5:12" s="15" customFormat="1" ht="12.75" customHeight="1" x14ac:dyDescent="0.2">
      <c r="E1524" s="27"/>
      <c r="F1524" s="27"/>
      <c r="G1524" s="141"/>
      <c r="H1524" s="141"/>
      <c r="I1524" s="551"/>
      <c r="J1524" s="552"/>
      <c r="K1524" s="33"/>
      <c r="L1524" s="145"/>
    </row>
    <row r="1525" spans="5:12" s="15" customFormat="1" ht="12.75" customHeight="1" x14ac:dyDescent="0.2">
      <c r="E1525" s="27"/>
      <c r="F1525" s="27"/>
      <c r="G1525" s="141"/>
      <c r="H1525" s="141"/>
      <c r="I1525" s="551"/>
      <c r="J1525" s="552"/>
      <c r="K1525" s="33"/>
      <c r="L1525" s="145"/>
    </row>
    <row r="1526" spans="5:12" s="15" customFormat="1" ht="12.75" customHeight="1" x14ac:dyDescent="0.2">
      <c r="E1526" s="27"/>
      <c r="F1526" s="27"/>
      <c r="G1526" s="141"/>
      <c r="H1526" s="141"/>
      <c r="I1526" s="551"/>
      <c r="J1526" s="552"/>
      <c r="K1526" s="33"/>
      <c r="L1526" s="145"/>
    </row>
    <row r="1527" spans="5:12" s="15" customFormat="1" ht="12.75" customHeight="1" x14ac:dyDescent="0.2">
      <c r="E1527" s="27"/>
      <c r="F1527" s="27"/>
      <c r="G1527" s="141"/>
      <c r="H1527" s="141"/>
      <c r="I1527" s="551"/>
      <c r="J1527" s="552"/>
      <c r="K1527" s="33"/>
      <c r="L1527" s="145"/>
    </row>
    <row r="1528" spans="5:12" s="15" customFormat="1" ht="12.75" customHeight="1" x14ac:dyDescent="0.2">
      <c r="E1528" s="27"/>
      <c r="F1528" s="27"/>
      <c r="G1528" s="141"/>
      <c r="H1528" s="141"/>
      <c r="I1528" s="551"/>
      <c r="J1528" s="552"/>
      <c r="K1528" s="33"/>
      <c r="L1528" s="145"/>
    </row>
    <row r="1529" spans="5:12" s="15" customFormat="1" ht="12.75" customHeight="1" x14ac:dyDescent="0.2">
      <c r="E1529" s="27"/>
      <c r="F1529" s="27"/>
      <c r="G1529" s="141"/>
      <c r="H1529" s="141"/>
      <c r="I1529" s="551"/>
      <c r="J1529" s="552"/>
      <c r="K1529" s="33"/>
      <c r="L1529" s="145"/>
    </row>
    <row r="1530" spans="5:12" s="15" customFormat="1" ht="12.75" customHeight="1" x14ac:dyDescent="0.2">
      <c r="E1530" s="27"/>
      <c r="F1530" s="27"/>
      <c r="G1530" s="141"/>
      <c r="H1530" s="141"/>
      <c r="I1530" s="551"/>
      <c r="J1530" s="552"/>
      <c r="K1530" s="33"/>
      <c r="L1530" s="145"/>
    </row>
    <row r="1531" spans="5:12" s="15" customFormat="1" ht="12.75" customHeight="1" x14ac:dyDescent="0.2">
      <c r="E1531" s="27"/>
      <c r="F1531" s="27"/>
      <c r="G1531" s="141"/>
      <c r="H1531" s="141"/>
      <c r="I1531" s="551"/>
      <c r="J1531" s="552"/>
      <c r="K1531" s="33"/>
      <c r="L1531" s="145"/>
    </row>
    <row r="1532" spans="5:12" s="15" customFormat="1" ht="12.75" customHeight="1" x14ac:dyDescent="0.2">
      <c r="E1532" s="27"/>
      <c r="F1532" s="27"/>
      <c r="G1532" s="141"/>
      <c r="H1532" s="141"/>
      <c r="I1532" s="551"/>
      <c r="J1532" s="552"/>
      <c r="K1532" s="33"/>
      <c r="L1532" s="145"/>
    </row>
    <row r="1533" spans="5:12" s="15" customFormat="1" ht="12.75" customHeight="1" x14ac:dyDescent="0.2">
      <c r="E1533" s="27"/>
      <c r="F1533" s="27"/>
      <c r="G1533" s="141"/>
      <c r="H1533" s="141"/>
      <c r="I1533" s="551"/>
      <c r="J1533" s="552"/>
      <c r="K1533" s="33"/>
      <c r="L1533" s="145"/>
    </row>
    <row r="1534" spans="5:12" s="15" customFormat="1" ht="12.75" customHeight="1" x14ac:dyDescent="0.2">
      <c r="E1534" s="27"/>
      <c r="F1534" s="27"/>
      <c r="G1534" s="141"/>
      <c r="H1534" s="141"/>
      <c r="I1534" s="551"/>
      <c r="J1534" s="552"/>
      <c r="K1534" s="33"/>
      <c r="L1534" s="145"/>
    </row>
    <row r="1535" spans="5:12" s="15" customFormat="1" ht="12.75" customHeight="1" x14ac:dyDescent="0.2">
      <c r="E1535" s="27"/>
      <c r="F1535" s="27"/>
      <c r="G1535" s="141"/>
      <c r="H1535" s="141"/>
      <c r="I1535" s="551"/>
      <c r="J1535" s="552"/>
      <c r="K1535" s="33"/>
      <c r="L1535" s="145"/>
    </row>
    <row r="1536" spans="5:12" s="15" customFormat="1" ht="12.75" customHeight="1" x14ac:dyDescent="0.2">
      <c r="E1536" s="27"/>
      <c r="F1536" s="27"/>
      <c r="G1536" s="141"/>
      <c r="H1536" s="141"/>
      <c r="I1536" s="551"/>
      <c r="J1536" s="552"/>
      <c r="K1536" s="33"/>
      <c r="L1536" s="145"/>
    </row>
    <row r="1537" spans="5:12" s="15" customFormat="1" ht="12.75" customHeight="1" x14ac:dyDescent="0.2">
      <c r="E1537" s="27"/>
      <c r="F1537" s="27"/>
      <c r="G1537" s="141"/>
      <c r="H1537" s="141"/>
      <c r="I1537" s="551"/>
      <c r="J1537" s="552"/>
      <c r="K1537" s="33"/>
      <c r="L1537" s="145"/>
    </row>
    <row r="1538" spans="5:12" s="15" customFormat="1" ht="12.75" customHeight="1" x14ac:dyDescent="0.2">
      <c r="E1538" s="27"/>
      <c r="F1538" s="27"/>
      <c r="G1538" s="141"/>
      <c r="H1538" s="141"/>
      <c r="I1538" s="551"/>
      <c r="J1538" s="552"/>
      <c r="K1538" s="33"/>
      <c r="L1538" s="145"/>
    </row>
    <row r="1539" spans="5:12" s="15" customFormat="1" ht="12.75" customHeight="1" x14ac:dyDescent="0.2">
      <c r="E1539" s="27"/>
      <c r="F1539" s="27"/>
      <c r="G1539" s="141"/>
      <c r="H1539" s="141"/>
      <c r="I1539" s="551"/>
      <c r="J1539" s="552"/>
      <c r="K1539" s="33"/>
      <c r="L1539" s="145"/>
    </row>
    <row r="1540" spans="5:12" s="15" customFormat="1" ht="12.75" customHeight="1" x14ac:dyDescent="0.2">
      <c r="E1540" s="27"/>
      <c r="F1540" s="27"/>
      <c r="G1540" s="141"/>
      <c r="H1540" s="141"/>
      <c r="I1540" s="551"/>
      <c r="J1540" s="552"/>
      <c r="K1540" s="33"/>
      <c r="L1540" s="145"/>
    </row>
    <row r="1541" spans="5:12" s="15" customFormat="1" ht="12.75" customHeight="1" x14ac:dyDescent="0.2">
      <c r="E1541" s="27"/>
      <c r="F1541" s="27"/>
      <c r="G1541" s="141"/>
      <c r="H1541" s="141"/>
      <c r="I1541" s="551"/>
      <c r="J1541" s="552"/>
      <c r="K1541" s="33"/>
      <c r="L1541" s="145"/>
    </row>
    <row r="1542" spans="5:12" s="15" customFormat="1" ht="12.75" customHeight="1" x14ac:dyDescent="0.2">
      <c r="E1542" s="27"/>
      <c r="F1542" s="27"/>
      <c r="G1542" s="141"/>
      <c r="H1542" s="141"/>
      <c r="I1542" s="551"/>
      <c r="J1542" s="552"/>
      <c r="K1542" s="33"/>
      <c r="L1542" s="145"/>
    </row>
    <row r="1543" spans="5:12" s="15" customFormat="1" ht="12.75" customHeight="1" x14ac:dyDescent="0.2">
      <c r="E1543" s="27"/>
      <c r="F1543" s="27"/>
      <c r="G1543" s="141"/>
      <c r="H1543" s="141"/>
      <c r="I1543" s="551"/>
      <c r="J1543" s="552"/>
      <c r="K1543" s="33"/>
      <c r="L1543" s="145"/>
    </row>
    <row r="1544" spans="5:12" s="15" customFormat="1" ht="12.75" customHeight="1" x14ac:dyDescent="0.2">
      <c r="E1544" s="27"/>
      <c r="F1544" s="27"/>
      <c r="G1544" s="141"/>
      <c r="H1544" s="141"/>
      <c r="I1544" s="551"/>
      <c r="J1544" s="552"/>
      <c r="K1544" s="33"/>
      <c r="L1544" s="145"/>
    </row>
    <row r="1545" spans="5:12" s="15" customFormat="1" ht="12.75" customHeight="1" x14ac:dyDescent="0.2">
      <c r="E1545" s="27"/>
      <c r="F1545" s="27"/>
      <c r="G1545" s="141"/>
      <c r="H1545" s="141"/>
      <c r="I1545" s="551"/>
      <c r="J1545" s="552"/>
      <c r="K1545" s="33"/>
      <c r="L1545" s="145"/>
    </row>
    <row r="1546" spans="5:12" s="15" customFormat="1" ht="12.75" customHeight="1" x14ac:dyDescent="0.2">
      <c r="E1546" s="27"/>
      <c r="F1546" s="27"/>
      <c r="G1546" s="141"/>
      <c r="H1546" s="141"/>
      <c r="I1546" s="551"/>
      <c r="J1546" s="552"/>
      <c r="K1546" s="33"/>
      <c r="L1546" s="145"/>
    </row>
    <row r="1547" spans="5:12" s="15" customFormat="1" ht="12.75" customHeight="1" x14ac:dyDescent="0.2">
      <c r="E1547" s="27"/>
      <c r="F1547" s="27"/>
      <c r="G1547" s="141"/>
      <c r="H1547" s="141"/>
      <c r="I1547" s="551"/>
      <c r="J1547" s="552"/>
      <c r="K1547" s="33"/>
      <c r="L1547" s="145"/>
    </row>
    <row r="1548" spans="5:12" s="15" customFormat="1" ht="12.75" customHeight="1" x14ac:dyDescent="0.2">
      <c r="E1548" s="27"/>
      <c r="F1548" s="27"/>
      <c r="G1548" s="141"/>
      <c r="H1548" s="141"/>
      <c r="I1548" s="551"/>
      <c r="J1548" s="552"/>
      <c r="K1548" s="33"/>
      <c r="L1548" s="145"/>
    </row>
    <row r="1549" spans="5:12" s="15" customFormat="1" ht="12.75" customHeight="1" x14ac:dyDescent="0.2">
      <c r="E1549" s="27"/>
      <c r="F1549" s="27"/>
      <c r="G1549" s="141"/>
      <c r="H1549" s="141"/>
      <c r="I1549" s="551"/>
      <c r="J1549" s="552"/>
      <c r="K1549" s="33"/>
      <c r="L1549" s="145"/>
    </row>
    <row r="1550" spans="5:12" s="15" customFormat="1" ht="12.75" customHeight="1" x14ac:dyDescent="0.2">
      <c r="E1550" s="27"/>
      <c r="F1550" s="27"/>
      <c r="G1550" s="141"/>
      <c r="H1550" s="141"/>
      <c r="I1550" s="551"/>
      <c r="J1550" s="552"/>
      <c r="K1550" s="33"/>
      <c r="L1550" s="145"/>
    </row>
    <row r="1551" spans="5:12" s="15" customFormat="1" ht="12.75" customHeight="1" x14ac:dyDescent="0.2">
      <c r="E1551" s="27"/>
      <c r="F1551" s="27"/>
      <c r="G1551" s="141"/>
      <c r="H1551" s="141"/>
      <c r="I1551" s="551"/>
      <c r="J1551" s="552"/>
      <c r="K1551" s="33"/>
      <c r="L1551" s="145"/>
    </row>
    <row r="1552" spans="5:12" s="15" customFormat="1" ht="12.75" customHeight="1" x14ac:dyDescent="0.2">
      <c r="E1552" s="27"/>
      <c r="F1552" s="27"/>
      <c r="G1552" s="141"/>
      <c r="H1552" s="141"/>
      <c r="I1552" s="551"/>
      <c r="J1552" s="552"/>
      <c r="K1552" s="33"/>
      <c r="L1552" s="145"/>
    </row>
    <row r="1553" spans="5:12" s="15" customFormat="1" ht="12.75" customHeight="1" x14ac:dyDescent="0.2">
      <c r="E1553" s="27"/>
      <c r="F1553" s="27"/>
      <c r="G1553" s="141"/>
      <c r="H1553" s="141"/>
      <c r="I1553" s="551"/>
      <c r="J1553" s="552"/>
      <c r="K1553" s="33"/>
      <c r="L1553" s="145"/>
    </row>
    <row r="1554" spans="5:12" s="15" customFormat="1" ht="12.75" customHeight="1" x14ac:dyDescent="0.2">
      <c r="E1554" s="27"/>
      <c r="F1554" s="27"/>
      <c r="G1554" s="141"/>
      <c r="H1554" s="141"/>
      <c r="I1554" s="551"/>
      <c r="J1554" s="552"/>
      <c r="K1554" s="33"/>
      <c r="L1554" s="145"/>
    </row>
    <row r="1555" spans="5:12" s="15" customFormat="1" ht="12.75" customHeight="1" x14ac:dyDescent="0.2">
      <c r="E1555" s="27"/>
      <c r="F1555" s="27"/>
      <c r="G1555" s="141"/>
      <c r="H1555" s="141"/>
      <c r="I1555" s="551"/>
      <c r="J1555" s="552"/>
      <c r="K1555" s="33"/>
      <c r="L1555" s="145"/>
    </row>
    <row r="1556" spans="5:12" s="15" customFormat="1" ht="12.75" customHeight="1" x14ac:dyDescent="0.2">
      <c r="E1556" s="27"/>
      <c r="F1556" s="27"/>
      <c r="G1556" s="141"/>
      <c r="H1556" s="141"/>
      <c r="I1556" s="551"/>
      <c r="J1556" s="552"/>
      <c r="K1556" s="33"/>
      <c r="L1556" s="145"/>
    </row>
    <row r="1557" spans="5:12" s="15" customFormat="1" ht="12.75" customHeight="1" x14ac:dyDescent="0.2">
      <c r="E1557" s="27"/>
      <c r="F1557" s="27"/>
      <c r="G1557" s="141"/>
      <c r="H1557" s="141"/>
      <c r="I1557" s="551"/>
      <c r="J1557" s="552"/>
      <c r="K1557" s="33"/>
      <c r="L1557" s="145"/>
    </row>
    <row r="1558" spans="5:12" s="15" customFormat="1" ht="12.75" customHeight="1" x14ac:dyDescent="0.2">
      <c r="E1558" s="27"/>
      <c r="F1558" s="27"/>
      <c r="G1558" s="141"/>
      <c r="H1558" s="141"/>
      <c r="I1558" s="551"/>
      <c r="J1558" s="552"/>
      <c r="K1558" s="33"/>
      <c r="L1558" s="145"/>
    </row>
    <row r="1559" spans="5:12" s="15" customFormat="1" ht="12.75" customHeight="1" x14ac:dyDescent="0.2">
      <c r="E1559" s="27"/>
      <c r="F1559" s="27"/>
      <c r="G1559" s="141"/>
      <c r="H1559" s="141"/>
      <c r="I1559" s="551"/>
      <c r="J1559" s="552"/>
      <c r="K1559" s="33"/>
      <c r="L1559" s="145"/>
    </row>
    <row r="1560" spans="5:12" s="15" customFormat="1" ht="12.75" customHeight="1" x14ac:dyDescent="0.2">
      <c r="E1560" s="27"/>
      <c r="F1560" s="27"/>
      <c r="G1560" s="141"/>
      <c r="H1560" s="141"/>
      <c r="I1560" s="551"/>
      <c r="J1560" s="552"/>
      <c r="K1560" s="33"/>
      <c r="L1560" s="145"/>
    </row>
    <row r="1561" spans="5:12" s="15" customFormat="1" ht="12.75" customHeight="1" x14ac:dyDescent="0.2">
      <c r="E1561" s="27"/>
      <c r="F1561" s="27"/>
      <c r="G1561" s="141"/>
      <c r="H1561" s="141"/>
      <c r="I1561" s="551"/>
      <c r="J1561" s="552"/>
      <c r="K1561" s="33"/>
      <c r="L1561" s="145"/>
    </row>
    <row r="1562" spans="5:12" s="15" customFormat="1" ht="12.75" customHeight="1" x14ac:dyDescent="0.2">
      <c r="E1562" s="27"/>
      <c r="F1562" s="27"/>
      <c r="G1562" s="141"/>
      <c r="H1562" s="141"/>
      <c r="I1562" s="551"/>
      <c r="J1562" s="552"/>
      <c r="K1562" s="33"/>
      <c r="L1562" s="145"/>
    </row>
    <row r="1563" spans="5:12" s="15" customFormat="1" ht="12.75" customHeight="1" x14ac:dyDescent="0.2">
      <c r="E1563" s="27"/>
      <c r="F1563" s="27"/>
      <c r="G1563" s="141"/>
      <c r="H1563" s="141"/>
      <c r="I1563" s="551"/>
      <c r="J1563" s="552"/>
      <c r="K1563" s="33"/>
      <c r="L1563" s="145"/>
    </row>
    <row r="1564" spans="5:12" s="15" customFormat="1" ht="12.75" customHeight="1" x14ac:dyDescent="0.2">
      <c r="E1564" s="27"/>
      <c r="F1564" s="27"/>
      <c r="G1564" s="141"/>
      <c r="H1564" s="141"/>
      <c r="I1564" s="551"/>
      <c r="J1564" s="552"/>
      <c r="K1564" s="33"/>
      <c r="L1564" s="145"/>
    </row>
    <row r="1565" spans="5:12" s="15" customFormat="1" ht="12.75" customHeight="1" x14ac:dyDescent="0.2">
      <c r="E1565" s="27"/>
      <c r="F1565" s="27"/>
      <c r="G1565" s="141"/>
      <c r="H1565" s="141"/>
      <c r="I1565" s="551"/>
      <c r="J1565" s="552"/>
      <c r="K1565" s="33"/>
      <c r="L1565" s="145"/>
    </row>
    <row r="1566" spans="5:12" s="15" customFormat="1" ht="12.75" customHeight="1" x14ac:dyDescent="0.2">
      <c r="E1566" s="27"/>
      <c r="F1566" s="27"/>
      <c r="G1566" s="141"/>
      <c r="H1566" s="141"/>
      <c r="I1566" s="551"/>
      <c r="J1566" s="552"/>
      <c r="K1566" s="33"/>
      <c r="L1566" s="145"/>
    </row>
    <row r="1567" spans="5:12" s="15" customFormat="1" ht="12.75" customHeight="1" x14ac:dyDescent="0.2">
      <c r="E1567" s="27"/>
      <c r="F1567" s="27"/>
      <c r="G1567" s="141"/>
      <c r="H1567" s="141"/>
      <c r="I1567" s="551"/>
      <c r="J1567" s="552"/>
      <c r="K1567" s="33"/>
      <c r="L1567" s="145"/>
    </row>
    <row r="1568" spans="5:12" s="15" customFormat="1" ht="12.75" customHeight="1" x14ac:dyDescent="0.2">
      <c r="E1568" s="27"/>
      <c r="F1568" s="27"/>
      <c r="G1568" s="141"/>
      <c r="H1568" s="141"/>
      <c r="I1568" s="551"/>
      <c r="J1568" s="552"/>
      <c r="K1568" s="33"/>
      <c r="L1568" s="145"/>
    </row>
    <row r="1569" spans="5:12" s="15" customFormat="1" ht="12.75" customHeight="1" x14ac:dyDescent="0.2">
      <c r="E1569" s="27"/>
      <c r="F1569" s="27"/>
      <c r="G1569" s="141"/>
      <c r="H1569" s="141"/>
      <c r="I1569" s="551"/>
      <c r="J1569" s="552"/>
      <c r="K1569" s="33"/>
      <c r="L1569" s="145"/>
    </row>
    <row r="1570" spans="5:12" s="15" customFormat="1" ht="12.75" customHeight="1" x14ac:dyDescent="0.2">
      <c r="E1570" s="27"/>
      <c r="F1570" s="27"/>
      <c r="G1570" s="141"/>
      <c r="H1570" s="141"/>
      <c r="I1570" s="551"/>
      <c r="J1570" s="552"/>
      <c r="K1570" s="33"/>
      <c r="L1570" s="145"/>
    </row>
    <row r="1571" spans="5:12" s="15" customFormat="1" ht="12.75" customHeight="1" x14ac:dyDescent="0.2">
      <c r="E1571" s="27"/>
      <c r="F1571" s="27"/>
      <c r="G1571" s="141"/>
      <c r="H1571" s="141"/>
      <c r="I1571" s="551"/>
      <c r="J1571" s="552"/>
      <c r="K1571" s="33"/>
      <c r="L1571" s="145"/>
    </row>
    <row r="1572" spans="5:12" s="15" customFormat="1" ht="12.75" customHeight="1" x14ac:dyDescent="0.2">
      <c r="E1572" s="27"/>
      <c r="F1572" s="27"/>
      <c r="G1572" s="141"/>
      <c r="H1572" s="141"/>
      <c r="I1572" s="551"/>
      <c r="J1572" s="552"/>
      <c r="K1572" s="33"/>
      <c r="L1572" s="145"/>
    </row>
    <row r="1573" spans="5:12" s="15" customFormat="1" ht="12.75" customHeight="1" x14ac:dyDescent="0.2">
      <c r="E1573" s="27"/>
      <c r="F1573" s="27"/>
      <c r="G1573" s="141"/>
      <c r="H1573" s="141"/>
      <c r="I1573" s="551"/>
      <c r="J1573" s="552"/>
      <c r="K1573" s="33"/>
      <c r="L1573" s="145"/>
    </row>
    <row r="1574" spans="5:12" s="15" customFormat="1" ht="12.75" customHeight="1" x14ac:dyDescent="0.2">
      <c r="E1574" s="27"/>
      <c r="F1574" s="27"/>
      <c r="G1574" s="141"/>
      <c r="H1574" s="141"/>
      <c r="I1574" s="551"/>
      <c r="J1574" s="552"/>
      <c r="K1574" s="33"/>
      <c r="L1574" s="145"/>
    </row>
    <row r="1575" spans="5:12" s="15" customFormat="1" ht="12.75" customHeight="1" x14ac:dyDescent="0.2">
      <c r="E1575" s="27"/>
      <c r="F1575" s="27"/>
      <c r="G1575" s="141"/>
      <c r="H1575" s="141"/>
      <c r="I1575" s="551"/>
      <c r="J1575" s="552"/>
      <c r="K1575" s="33"/>
      <c r="L1575" s="145"/>
    </row>
    <row r="1576" spans="5:12" s="15" customFormat="1" ht="12.75" customHeight="1" x14ac:dyDescent="0.2">
      <c r="E1576" s="27"/>
      <c r="F1576" s="27"/>
      <c r="G1576" s="141"/>
      <c r="H1576" s="141"/>
      <c r="I1576" s="551"/>
      <c r="J1576" s="552"/>
      <c r="K1576" s="33"/>
      <c r="L1576" s="145"/>
    </row>
    <row r="1577" spans="5:12" s="15" customFormat="1" ht="12.75" customHeight="1" x14ac:dyDescent="0.2">
      <c r="E1577" s="27"/>
      <c r="F1577" s="27"/>
      <c r="G1577" s="141"/>
      <c r="H1577" s="141"/>
      <c r="I1577" s="551"/>
      <c r="J1577" s="552"/>
      <c r="K1577" s="33"/>
      <c r="L1577" s="145"/>
    </row>
    <row r="1578" spans="5:12" s="15" customFormat="1" ht="12.75" customHeight="1" x14ac:dyDescent="0.2">
      <c r="E1578" s="27"/>
      <c r="F1578" s="27"/>
      <c r="G1578" s="141"/>
      <c r="H1578" s="141"/>
      <c r="I1578" s="551"/>
      <c r="J1578" s="552"/>
      <c r="K1578" s="33"/>
      <c r="L1578" s="145"/>
    </row>
    <row r="1579" spans="5:12" s="15" customFormat="1" ht="12.75" customHeight="1" x14ac:dyDescent="0.2">
      <c r="E1579" s="27"/>
      <c r="F1579" s="27"/>
      <c r="G1579" s="141"/>
      <c r="H1579" s="141"/>
      <c r="I1579" s="551"/>
      <c r="J1579" s="552"/>
      <c r="K1579" s="33"/>
      <c r="L1579" s="145"/>
    </row>
    <row r="1580" spans="5:12" s="15" customFormat="1" ht="12.75" customHeight="1" x14ac:dyDescent="0.2">
      <c r="E1580" s="27"/>
      <c r="F1580" s="27"/>
      <c r="G1580" s="141"/>
      <c r="H1580" s="141"/>
      <c r="I1580" s="551"/>
      <c r="J1580" s="552"/>
      <c r="K1580" s="33"/>
      <c r="L1580" s="145"/>
    </row>
    <row r="1581" spans="5:12" s="15" customFormat="1" ht="12.75" customHeight="1" x14ac:dyDescent="0.2">
      <c r="E1581" s="27"/>
      <c r="F1581" s="27"/>
      <c r="G1581" s="141"/>
      <c r="H1581" s="141"/>
      <c r="I1581" s="551"/>
      <c r="J1581" s="552"/>
      <c r="K1581" s="33"/>
      <c r="L1581" s="145"/>
    </row>
    <row r="1582" spans="5:12" s="15" customFormat="1" ht="12.75" customHeight="1" x14ac:dyDescent="0.2">
      <c r="E1582" s="27"/>
      <c r="F1582" s="27"/>
      <c r="G1582" s="141"/>
      <c r="H1582" s="141"/>
      <c r="I1582" s="551"/>
      <c r="J1582" s="552"/>
      <c r="K1582" s="33"/>
      <c r="L1582" s="145"/>
    </row>
    <row r="1583" spans="5:12" s="15" customFormat="1" ht="12.75" customHeight="1" x14ac:dyDescent="0.2">
      <c r="E1583" s="27"/>
      <c r="F1583" s="27"/>
      <c r="G1583" s="141"/>
      <c r="H1583" s="141"/>
      <c r="I1583" s="551"/>
      <c r="J1583" s="552"/>
      <c r="K1583" s="33"/>
      <c r="L1583" s="145"/>
    </row>
    <row r="1584" spans="5:12" s="15" customFormat="1" ht="12.75" customHeight="1" x14ac:dyDescent="0.2">
      <c r="E1584" s="27"/>
      <c r="F1584" s="27"/>
      <c r="G1584" s="141"/>
      <c r="H1584" s="141"/>
      <c r="I1584" s="551"/>
      <c r="J1584" s="552"/>
      <c r="K1584" s="33"/>
      <c r="L1584" s="145"/>
    </row>
    <row r="1585" spans="5:12" s="15" customFormat="1" ht="12.75" customHeight="1" x14ac:dyDescent="0.2">
      <c r="E1585" s="27"/>
      <c r="F1585" s="27"/>
      <c r="G1585" s="141"/>
      <c r="H1585" s="141"/>
      <c r="I1585" s="551"/>
      <c r="J1585" s="552"/>
      <c r="K1585" s="33"/>
      <c r="L1585" s="145"/>
    </row>
    <row r="1586" spans="5:12" s="15" customFormat="1" ht="12.75" customHeight="1" x14ac:dyDescent="0.2">
      <c r="E1586" s="27"/>
      <c r="F1586" s="27"/>
      <c r="G1586" s="141"/>
      <c r="H1586" s="141"/>
      <c r="I1586" s="551"/>
      <c r="J1586" s="552"/>
      <c r="K1586" s="33"/>
      <c r="L1586" s="145"/>
    </row>
    <row r="1587" spans="5:12" s="15" customFormat="1" ht="12.75" customHeight="1" x14ac:dyDescent="0.2">
      <c r="E1587" s="27"/>
      <c r="F1587" s="27"/>
      <c r="G1587" s="141"/>
      <c r="H1587" s="141"/>
      <c r="I1587" s="551"/>
      <c r="J1587" s="552"/>
      <c r="K1587" s="33"/>
      <c r="L1587" s="145"/>
    </row>
    <row r="1588" spans="5:12" s="15" customFormat="1" ht="12.75" customHeight="1" x14ac:dyDescent="0.2">
      <c r="E1588" s="27"/>
      <c r="F1588" s="27"/>
      <c r="G1588" s="141"/>
      <c r="H1588" s="141"/>
      <c r="I1588" s="551"/>
      <c r="J1588" s="552"/>
      <c r="K1588" s="33"/>
      <c r="L1588" s="145"/>
    </row>
    <row r="1589" spans="5:12" s="15" customFormat="1" ht="12.75" customHeight="1" x14ac:dyDescent="0.2">
      <c r="E1589" s="27"/>
      <c r="F1589" s="27"/>
      <c r="G1589" s="141"/>
      <c r="H1589" s="141"/>
      <c r="I1589" s="551"/>
      <c r="J1589" s="552"/>
      <c r="K1589" s="33"/>
      <c r="L1589" s="145"/>
    </row>
    <row r="1590" spans="5:12" s="15" customFormat="1" ht="12.75" customHeight="1" x14ac:dyDescent="0.2">
      <c r="E1590" s="27"/>
      <c r="F1590" s="27"/>
      <c r="G1590" s="141"/>
      <c r="H1590" s="141"/>
      <c r="I1590" s="551"/>
      <c r="J1590" s="552"/>
      <c r="K1590" s="33"/>
      <c r="L1590" s="145"/>
    </row>
    <row r="1591" spans="5:12" s="15" customFormat="1" ht="12.75" customHeight="1" x14ac:dyDescent="0.2">
      <c r="E1591" s="27"/>
      <c r="F1591" s="27"/>
      <c r="G1591" s="141"/>
      <c r="H1591" s="141"/>
      <c r="I1591" s="551"/>
      <c r="J1591" s="552"/>
      <c r="K1591" s="33"/>
      <c r="L1591" s="145"/>
    </row>
    <row r="1592" spans="5:12" s="15" customFormat="1" ht="12.75" customHeight="1" x14ac:dyDescent="0.2">
      <c r="E1592" s="27"/>
      <c r="F1592" s="27"/>
      <c r="G1592" s="141"/>
      <c r="H1592" s="141"/>
      <c r="I1592" s="551"/>
      <c r="J1592" s="552"/>
      <c r="K1592" s="33"/>
      <c r="L1592" s="145"/>
    </row>
    <row r="1593" spans="5:12" s="15" customFormat="1" ht="12.75" customHeight="1" x14ac:dyDescent="0.2">
      <c r="E1593" s="27"/>
      <c r="F1593" s="27"/>
      <c r="G1593" s="141"/>
      <c r="H1593" s="141"/>
      <c r="I1593" s="551"/>
      <c r="J1593" s="552"/>
      <c r="K1593" s="33"/>
      <c r="L1593" s="145"/>
    </row>
    <row r="1594" spans="5:12" s="15" customFormat="1" ht="12.75" customHeight="1" x14ac:dyDescent="0.2">
      <c r="E1594" s="27"/>
      <c r="F1594" s="27"/>
      <c r="G1594" s="141"/>
      <c r="H1594" s="141"/>
      <c r="I1594" s="551"/>
      <c r="J1594" s="552"/>
      <c r="K1594" s="33"/>
      <c r="L1594" s="145"/>
    </row>
    <row r="1595" spans="5:12" s="15" customFormat="1" ht="12.75" customHeight="1" x14ac:dyDescent="0.2">
      <c r="E1595" s="27"/>
      <c r="F1595" s="27"/>
      <c r="G1595" s="141"/>
      <c r="H1595" s="141"/>
      <c r="I1595" s="551"/>
      <c r="J1595" s="552"/>
      <c r="K1595" s="33"/>
      <c r="L1595" s="145"/>
    </row>
    <row r="1596" spans="5:12" s="15" customFormat="1" ht="12.75" customHeight="1" x14ac:dyDescent="0.2">
      <c r="E1596" s="27"/>
      <c r="F1596" s="27"/>
      <c r="G1596" s="141"/>
      <c r="H1596" s="141"/>
      <c r="I1596" s="551"/>
      <c r="J1596" s="552"/>
      <c r="K1596" s="33"/>
      <c r="L1596" s="145"/>
    </row>
    <row r="1597" spans="5:12" s="15" customFormat="1" ht="12.75" customHeight="1" x14ac:dyDescent="0.2">
      <c r="E1597" s="27"/>
      <c r="F1597" s="27"/>
      <c r="G1597" s="141"/>
      <c r="H1597" s="141"/>
      <c r="I1597" s="551"/>
      <c r="J1597" s="552"/>
      <c r="K1597" s="33"/>
      <c r="L1597" s="145"/>
    </row>
    <row r="1598" spans="5:12" s="15" customFormat="1" ht="12.75" customHeight="1" x14ac:dyDescent="0.2">
      <c r="E1598" s="27"/>
      <c r="F1598" s="27"/>
      <c r="G1598" s="141"/>
      <c r="H1598" s="141"/>
      <c r="I1598" s="551"/>
      <c r="J1598" s="552"/>
      <c r="K1598" s="33"/>
      <c r="L1598" s="145"/>
    </row>
    <row r="1599" spans="5:12" s="15" customFormat="1" ht="12.75" customHeight="1" x14ac:dyDescent="0.2">
      <c r="E1599" s="27"/>
      <c r="F1599" s="27"/>
      <c r="G1599" s="141"/>
      <c r="H1599" s="141"/>
      <c r="I1599" s="551"/>
      <c r="J1599" s="552"/>
      <c r="K1599" s="33"/>
      <c r="L1599" s="145"/>
    </row>
    <row r="1600" spans="5:12" s="15" customFormat="1" ht="12.75" customHeight="1" x14ac:dyDescent="0.2">
      <c r="E1600" s="27"/>
      <c r="F1600" s="27"/>
      <c r="G1600" s="141"/>
      <c r="H1600" s="141"/>
      <c r="I1600" s="551"/>
      <c r="J1600" s="552"/>
      <c r="K1600" s="33"/>
      <c r="L1600" s="145"/>
    </row>
    <row r="1601" spans="5:12" s="15" customFormat="1" ht="12.75" customHeight="1" x14ac:dyDescent="0.2">
      <c r="E1601" s="27"/>
      <c r="F1601" s="27"/>
      <c r="G1601" s="141"/>
      <c r="H1601" s="141"/>
      <c r="I1601" s="551"/>
      <c r="J1601" s="552"/>
      <c r="K1601" s="33"/>
      <c r="L1601" s="145"/>
    </row>
    <row r="1602" spans="5:12" s="15" customFormat="1" ht="12.75" customHeight="1" x14ac:dyDescent="0.2">
      <c r="E1602" s="27"/>
      <c r="F1602" s="27"/>
      <c r="G1602" s="141"/>
      <c r="H1602" s="141"/>
      <c r="I1602" s="551"/>
      <c r="J1602" s="552"/>
      <c r="K1602" s="33"/>
      <c r="L1602" s="145"/>
    </row>
    <row r="1603" spans="5:12" s="15" customFormat="1" ht="12.75" customHeight="1" x14ac:dyDescent="0.2">
      <c r="E1603" s="27"/>
      <c r="F1603" s="27"/>
      <c r="G1603" s="141"/>
      <c r="H1603" s="141"/>
      <c r="I1603" s="551"/>
      <c r="J1603" s="552"/>
      <c r="K1603" s="33"/>
      <c r="L1603" s="145"/>
    </row>
    <row r="1604" spans="5:12" s="15" customFormat="1" ht="12.75" customHeight="1" x14ac:dyDescent="0.2">
      <c r="E1604" s="27"/>
      <c r="F1604" s="27"/>
      <c r="G1604" s="141"/>
      <c r="H1604" s="141"/>
      <c r="I1604" s="551"/>
      <c r="J1604" s="552"/>
      <c r="K1604" s="33"/>
      <c r="L1604" s="145"/>
    </row>
    <row r="1605" spans="5:12" s="15" customFormat="1" ht="12.75" customHeight="1" x14ac:dyDescent="0.2">
      <c r="E1605" s="27"/>
      <c r="F1605" s="27"/>
      <c r="G1605" s="141"/>
      <c r="H1605" s="141"/>
      <c r="I1605" s="551"/>
      <c r="J1605" s="552"/>
      <c r="K1605" s="33"/>
      <c r="L1605" s="145"/>
    </row>
    <row r="1606" spans="5:12" s="15" customFormat="1" ht="12.75" customHeight="1" x14ac:dyDescent="0.2">
      <c r="E1606" s="27"/>
      <c r="F1606" s="27"/>
      <c r="G1606" s="141"/>
      <c r="H1606" s="141"/>
      <c r="I1606" s="551"/>
      <c r="J1606" s="552"/>
      <c r="K1606" s="33"/>
      <c r="L1606" s="145"/>
    </row>
    <row r="1607" spans="5:12" s="15" customFormat="1" ht="12.75" customHeight="1" x14ac:dyDescent="0.2">
      <c r="E1607" s="27"/>
      <c r="F1607" s="27"/>
      <c r="G1607" s="141"/>
      <c r="H1607" s="141"/>
      <c r="I1607" s="551"/>
      <c r="J1607" s="552"/>
      <c r="K1607" s="33"/>
      <c r="L1607" s="145"/>
    </row>
    <row r="1608" spans="5:12" s="15" customFormat="1" ht="12.75" customHeight="1" x14ac:dyDescent="0.2">
      <c r="E1608" s="27"/>
      <c r="F1608" s="27"/>
      <c r="G1608" s="141"/>
      <c r="H1608" s="141"/>
      <c r="I1608" s="551"/>
      <c r="J1608" s="552"/>
      <c r="K1608" s="33"/>
      <c r="L1608" s="145"/>
    </row>
    <row r="1609" spans="5:12" s="15" customFormat="1" ht="12.75" customHeight="1" x14ac:dyDescent="0.2">
      <c r="E1609" s="27"/>
      <c r="F1609" s="27"/>
      <c r="G1609" s="141"/>
      <c r="H1609" s="141"/>
      <c r="I1609" s="551"/>
      <c r="J1609" s="552"/>
      <c r="K1609" s="33"/>
      <c r="L1609" s="145"/>
    </row>
    <row r="1610" spans="5:12" s="15" customFormat="1" ht="12.75" customHeight="1" x14ac:dyDescent="0.2">
      <c r="E1610" s="27"/>
      <c r="F1610" s="27"/>
      <c r="G1610" s="141"/>
      <c r="H1610" s="141"/>
      <c r="I1610" s="551"/>
      <c r="J1610" s="552"/>
      <c r="K1610" s="33"/>
      <c r="L1610" s="145"/>
    </row>
    <row r="1611" spans="5:12" s="15" customFormat="1" ht="12.75" customHeight="1" x14ac:dyDescent="0.2">
      <c r="E1611" s="27"/>
      <c r="F1611" s="27"/>
      <c r="G1611" s="141"/>
      <c r="H1611" s="141"/>
      <c r="I1611" s="551"/>
      <c r="J1611" s="552"/>
      <c r="K1611" s="33"/>
      <c r="L1611" s="145"/>
    </row>
    <row r="1612" spans="5:12" s="15" customFormat="1" ht="12.75" customHeight="1" x14ac:dyDescent="0.2">
      <c r="E1612" s="27"/>
      <c r="F1612" s="27"/>
      <c r="G1612" s="141"/>
      <c r="H1612" s="141"/>
      <c r="I1612" s="551"/>
      <c r="J1612" s="552"/>
      <c r="K1612" s="33"/>
      <c r="L1612" s="145"/>
    </row>
    <row r="1613" spans="5:12" s="15" customFormat="1" ht="12.75" customHeight="1" x14ac:dyDescent="0.2">
      <c r="E1613" s="27"/>
      <c r="F1613" s="27"/>
      <c r="G1613" s="141"/>
      <c r="H1613" s="141"/>
      <c r="I1613" s="551"/>
      <c r="J1613" s="552"/>
      <c r="K1613" s="33"/>
      <c r="L1613" s="145"/>
    </row>
    <row r="1614" spans="5:12" s="15" customFormat="1" ht="12.75" customHeight="1" x14ac:dyDescent="0.2">
      <c r="E1614" s="27"/>
      <c r="F1614" s="27"/>
      <c r="G1614" s="141"/>
      <c r="H1614" s="141"/>
      <c r="I1614" s="551"/>
      <c r="J1614" s="552"/>
      <c r="K1614" s="33"/>
      <c r="L1614" s="145"/>
    </row>
    <row r="1615" spans="5:12" s="15" customFormat="1" ht="12.75" customHeight="1" x14ac:dyDescent="0.2">
      <c r="E1615" s="27"/>
      <c r="F1615" s="27"/>
      <c r="G1615" s="141"/>
      <c r="H1615" s="141"/>
      <c r="I1615" s="551"/>
      <c r="J1615" s="552"/>
      <c r="K1615" s="33"/>
      <c r="L1615" s="145"/>
    </row>
    <row r="1616" spans="5:12" s="15" customFormat="1" ht="12.75" customHeight="1" x14ac:dyDescent="0.2">
      <c r="E1616" s="27"/>
      <c r="F1616" s="27"/>
      <c r="G1616" s="141"/>
      <c r="H1616" s="141"/>
      <c r="I1616" s="551"/>
      <c r="J1616" s="552"/>
      <c r="K1616" s="33"/>
      <c r="L1616" s="145"/>
    </row>
    <row r="1617" spans="5:12" s="15" customFormat="1" ht="12.75" customHeight="1" x14ac:dyDescent="0.2">
      <c r="E1617" s="27"/>
      <c r="F1617" s="27"/>
      <c r="G1617" s="141"/>
      <c r="H1617" s="141"/>
      <c r="I1617" s="551"/>
      <c r="J1617" s="552"/>
      <c r="K1617" s="33"/>
      <c r="L1617" s="145"/>
    </row>
    <row r="1618" spans="5:12" s="15" customFormat="1" ht="12.75" customHeight="1" x14ac:dyDescent="0.2">
      <c r="E1618" s="27"/>
      <c r="F1618" s="27"/>
      <c r="G1618" s="141"/>
      <c r="H1618" s="141"/>
      <c r="I1618" s="551"/>
      <c r="J1618" s="552"/>
      <c r="K1618" s="33"/>
      <c r="L1618" s="145"/>
    </row>
    <row r="1619" spans="5:12" s="15" customFormat="1" ht="12.75" customHeight="1" x14ac:dyDescent="0.2">
      <c r="E1619" s="27"/>
      <c r="F1619" s="27"/>
      <c r="G1619" s="141"/>
      <c r="H1619" s="141"/>
      <c r="I1619" s="551"/>
      <c r="J1619" s="552"/>
      <c r="K1619" s="33"/>
      <c r="L1619" s="145"/>
    </row>
    <row r="1620" spans="5:12" s="15" customFormat="1" ht="12.75" customHeight="1" x14ac:dyDescent="0.2">
      <c r="E1620" s="27"/>
      <c r="F1620" s="27"/>
      <c r="G1620" s="141"/>
      <c r="H1620" s="141"/>
      <c r="I1620" s="551"/>
      <c r="J1620" s="552"/>
      <c r="K1620" s="33"/>
      <c r="L1620" s="145"/>
    </row>
    <row r="1621" spans="5:12" s="15" customFormat="1" ht="12.75" customHeight="1" x14ac:dyDescent="0.2">
      <c r="E1621" s="27"/>
      <c r="F1621" s="27"/>
      <c r="G1621" s="141"/>
      <c r="H1621" s="141"/>
      <c r="I1621" s="551"/>
      <c r="J1621" s="552"/>
      <c r="K1621" s="33"/>
      <c r="L1621" s="145"/>
    </row>
    <row r="1622" spans="5:12" s="15" customFormat="1" ht="12.75" customHeight="1" x14ac:dyDescent="0.2">
      <c r="E1622" s="27"/>
      <c r="F1622" s="27"/>
      <c r="G1622" s="141"/>
      <c r="H1622" s="141"/>
      <c r="I1622" s="551"/>
      <c r="J1622" s="552"/>
      <c r="K1622" s="33"/>
      <c r="L1622" s="145"/>
    </row>
    <row r="1623" spans="5:12" s="15" customFormat="1" ht="12.75" customHeight="1" x14ac:dyDescent="0.2">
      <c r="E1623" s="27"/>
      <c r="F1623" s="27"/>
      <c r="G1623" s="141"/>
      <c r="H1623" s="141"/>
      <c r="I1623" s="551"/>
      <c r="J1623" s="552"/>
      <c r="K1623" s="33"/>
      <c r="L1623" s="145"/>
    </row>
    <row r="1624" spans="5:12" s="15" customFormat="1" ht="12.75" customHeight="1" x14ac:dyDescent="0.2">
      <c r="E1624" s="27"/>
      <c r="F1624" s="27"/>
      <c r="G1624" s="141"/>
      <c r="H1624" s="141"/>
      <c r="I1624" s="551"/>
      <c r="J1624" s="552"/>
      <c r="K1624" s="33"/>
      <c r="L1624" s="145"/>
    </row>
    <row r="1625" spans="5:12" s="15" customFormat="1" ht="12.75" customHeight="1" x14ac:dyDescent="0.2">
      <c r="E1625" s="27"/>
      <c r="F1625" s="27"/>
      <c r="G1625" s="141"/>
      <c r="H1625" s="141"/>
      <c r="I1625" s="551"/>
      <c r="J1625" s="552"/>
      <c r="K1625" s="33"/>
      <c r="L1625" s="145"/>
    </row>
    <row r="1626" spans="5:12" s="15" customFormat="1" ht="12.75" customHeight="1" x14ac:dyDescent="0.2">
      <c r="E1626" s="27"/>
      <c r="F1626" s="27"/>
      <c r="G1626" s="141"/>
      <c r="H1626" s="141"/>
      <c r="I1626" s="551"/>
      <c r="J1626" s="552"/>
      <c r="K1626" s="33"/>
      <c r="L1626" s="145"/>
    </row>
    <row r="1627" spans="5:12" s="15" customFormat="1" ht="12.75" customHeight="1" x14ac:dyDescent="0.2">
      <c r="E1627" s="27"/>
      <c r="F1627" s="27"/>
      <c r="G1627" s="141"/>
      <c r="H1627" s="141"/>
      <c r="I1627" s="551"/>
      <c r="J1627" s="552"/>
      <c r="K1627" s="33"/>
      <c r="L1627" s="145"/>
    </row>
    <row r="1628" spans="5:12" s="15" customFormat="1" ht="12.75" customHeight="1" x14ac:dyDescent="0.2">
      <c r="E1628" s="27"/>
      <c r="F1628" s="27"/>
      <c r="G1628" s="141"/>
      <c r="H1628" s="141"/>
      <c r="I1628" s="551"/>
      <c r="J1628" s="552"/>
      <c r="K1628" s="33"/>
      <c r="L1628" s="145"/>
    </row>
    <row r="1629" spans="5:12" s="15" customFormat="1" ht="12.75" customHeight="1" x14ac:dyDescent="0.2">
      <c r="E1629" s="27"/>
      <c r="F1629" s="27"/>
      <c r="G1629" s="141"/>
      <c r="H1629" s="141"/>
      <c r="I1629" s="551"/>
      <c r="J1629" s="552"/>
      <c r="K1629" s="33"/>
      <c r="L1629" s="145"/>
    </row>
    <row r="1630" spans="5:12" s="15" customFormat="1" ht="12.75" customHeight="1" x14ac:dyDescent="0.2">
      <c r="E1630" s="27"/>
      <c r="F1630" s="27"/>
      <c r="G1630" s="141"/>
      <c r="H1630" s="141"/>
      <c r="I1630" s="551"/>
      <c r="J1630" s="552"/>
      <c r="K1630" s="33"/>
      <c r="L1630" s="145"/>
    </row>
    <row r="1631" spans="5:12" s="15" customFormat="1" ht="12.75" customHeight="1" x14ac:dyDescent="0.2">
      <c r="E1631" s="27"/>
      <c r="F1631" s="27"/>
      <c r="G1631" s="141"/>
      <c r="H1631" s="141"/>
      <c r="I1631" s="551"/>
      <c r="J1631" s="552"/>
      <c r="K1631" s="33"/>
      <c r="L1631" s="145"/>
    </row>
    <row r="1632" spans="5:12" s="15" customFormat="1" ht="12.75" customHeight="1" x14ac:dyDescent="0.2">
      <c r="E1632" s="27"/>
      <c r="F1632" s="27"/>
      <c r="G1632" s="141"/>
      <c r="H1632" s="141"/>
      <c r="I1632" s="551"/>
      <c r="J1632" s="552"/>
      <c r="K1632" s="33"/>
      <c r="L1632" s="145"/>
    </row>
    <row r="1633" spans="5:12" s="15" customFormat="1" ht="12.75" customHeight="1" x14ac:dyDescent="0.2">
      <c r="E1633" s="27"/>
      <c r="F1633" s="27"/>
      <c r="G1633" s="141"/>
      <c r="H1633" s="141"/>
      <c r="I1633" s="551"/>
      <c r="J1633" s="552"/>
      <c r="K1633" s="33"/>
      <c r="L1633" s="145"/>
    </row>
    <row r="1634" spans="5:12" s="15" customFormat="1" ht="12.75" customHeight="1" x14ac:dyDescent="0.2">
      <c r="E1634" s="27"/>
      <c r="F1634" s="27"/>
      <c r="G1634" s="141"/>
      <c r="H1634" s="141"/>
      <c r="I1634" s="551"/>
      <c r="J1634" s="552"/>
      <c r="K1634" s="33"/>
      <c r="L1634" s="145"/>
    </row>
    <row r="1635" spans="5:12" s="15" customFormat="1" ht="12.75" customHeight="1" x14ac:dyDescent="0.2">
      <c r="E1635" s="27"/>
      <c r="F1635" s="27"/>
      <c r="G1635" s="141"/>
      <c r="H1635" s="141"/>
      <c r="I1635" s="551"/>
      <c r="J1635" s="552"/>
      <c r="K1635" s="33"/>
      <c r="L1635" s="145"/>
    </row>
    <row r="1636" spans="5:12" s="15" customFormat="1" ht="12.75" customHeight="1" x14ac:dyDescent="0.2">
      <c r="E1636" s="27"/>
      <c r="F1636" s="27"/>
      <c r="G1636" s="141"/>
      <c r="H1636" s="141"/>
      <c r="I1636" s="551"/>
      <c r="J1636" s="552"/>
      <c r="K1636" s="33"/>
      <c r="L1636" s="145"/>
    </row>
    <row r="1637" spans="5:12" s="15" customFormat="1" ht="12.75" customHeight="1" x14ac:dyDescent="0.2">
      <c r="E1637" s="27"/>
      <c r="F1637" s="27"/>
      <c r="G1637" s="141"/>
      <c r="H1637" s="141"/>
      <c r="I1637" s="551"/>
      <c r="J1637" s="552"/>
      <c r="K1637" s="33"/>
      <c r="L1637" s="145"/>
    </row>
    <row r="1638" spans="5:12" s="15" customFormat="1" ht="12.75" customHeight="1" x14ac:dyDescent="0.2">
      <c r="E1638" s="27"/>
      <c r="F1638" s="27"/>
      <c r="G1638" s="141"/>
      <c r="H1638" s="141"/>
      <c r="I1638" s="551"/>
      <c r="J1638" s="552"/>
      <c r="K1638" s="33"/>
      <c r="L1638" s="145"/>
    </row>
    <row r="1639" spans="5:12" s="15" customFormat="1" ht="12.75" customHeight="1" x14ac:dyDescent="0.2">
      <c r="E1639" s="27"/>
      <c r="F1639" s="27"/>
      <c r="G1639" s="141"/>
      <c r="H1639" s="141"/>
      <c r="I1639" s="551"/>
      <c r="J1639" s="552"/>
      <c r="K1639" s="33"/>
      <c r="L1639" s="145"/>
    </row>
    <row r="1640" spans="5:12" s="15" customFormat="1" ht="12.75" customHeight="1" x14ac:dyDescent="0.2">
      <c r="E1640" s="27"/>
      <c r="F1640" s="27"/>
      <c r="G1640" s="141"/>
      <c r="H1640" s="141"/>
      <c r="I1640" s="551"/>
      <c r="J1640" s="552"/>
      <c r="K1640" s="33"/>
      <c r="L1640" s="145"/>
    </row>
    <row r="1641" spans="5:12" s="15" customFormat="1" ht="12.75" customHeight="1" x14ac:dyDescent="0.2">
      <c r="E1641" s="27"/>
      <c r="F1641" s="27"/>
      <c r="G1641" s="141"/>
      <c r="H1641" s="141"/>
      <c r="I1641" s="551"/>
      <c r="J1641" s="552"/>
      <c r="K1641" s="33"/>
      <c r="L1641" s="145"/>
    </row>
    <row r="1642" spans="5:12" s="15" customFormat="1" ht="12.75" customHeight="1" x14ac:dyDescent="0.2">
      <c r="E1642" s="27"/>
      <c r="F1642" s="27"/>
      <c r="G1642" s="141"/>
      <c r="H1642" s="141"/>
      <c r="I1642" s="551"/>
      <c r="J1642" s="552"/>
      <c r="K1642" s="33"/>
      <c r="L1642" s="145"/>
    </row>
    <row r="1643" spans="5:12" s="15" customFormat="1" ht="12.75" customHeight="1" x14ac:dyDescent="0.2">
      <c r="E1643" s="27"/>
      <c r="F1643" s="27"/>
      <c r="G1643" s="141"/>
      <c r="H1643" s="141"/>
      <c r="I1643" s="551"/>
      <c r="J1643" s="552"/>
      <c r="K1643" s="33"/>
      <c r="L1643" s="145"/>
    </row>
    <row r="1644" spans="5:12" s="15" customFormat="1" ht="12.75" customHeight="1" x14ac:dyDescent="0.2">
      <c r="E1644" s="27"/>
      <c r="F1644" s="27"/>
      <c r="G1644" s="141"/>
      <c r="H1644" s="141"/>
      <c r="I1644" s="551"/>
      <c r="J1644" s="552"/>
      <c r="K1644" s="33"/>
      <c r="L1644" s="145"/>
    </row>
    <row r="1645" spans="5:12" s="15" customFormat="1" ht="12.75" customHeight="1" x14ac:dyDescent="0.2">
      <c r="E1645" s="27"/>
      <c r="F1645" s="27"/>
      <c r="G1645" s="141"/>
      <c r="H1645" s="141"/>
      <c r="I1645" s="551"/>
      <c r="J1645" s="552"/>
      <c r="K1645" s="33"/>
      <c r="L1645" s="145"/>
    </row>
    <row r="1646" spans="5:12" s="15" customFormat="1" ht="12.75" customHeight="1" x14ac:dyDescent="0.2">
      <c r="E1646" s="27"/>
      <c r="F1646" s="27"/>
      <c r="G1646" s="141"/>
      <c r="H1646" s="141"/>
      <c r="I1646" s="551"/>
      <c r="J1646" s="552"/>
      <c r="K1646" s="33"/>
      <c r="L1646" s="145"/>
    </row>
    <row r="1647" spans="5:12" s="15" customFormat="1" ht="12.75" customHeight="1" x14ac:dyDescent="0.2">
      <c r="E1647" s="27"/>
      <c r="F1647" s="27"/>
      <c r="G1647" s="141"/>
      <c r="H1647" s="141"/>
      <c r="I1647" s="551"/>
      <c r="J1647" s="552"/>
      <c r="K1647" s="33"/>
      <c r="L1647" s="145"/>
    </row>
    <row r="1648" spans="5:12" s="15" customFormat="1" ht="12.75" customHeight="1" x14ac:dyDescent="0.2">
      <c r="E1648" s="27"/>
      <c r="F1648" s="27"/>
      <c r="G1648" s="141"/>
      <c r="H1648" s="141"/>
      <c r="I1648" s="551"/>
      <c r="J1648" s="552"/>
      <c r="K1648" s="33"/>
      <c r="L1648" s="145"/>
    </row>
    <row r="1649" spans="5:12" s="15" customFormat="1" ht="12.75" customHeight="1" x14ac:dyDescent="0.2">
      <c r="E1649" s="27"/>
      <c r="F1649" s="27"/>
      <c r="G1649" s="141"/>
      <c r="H1649" s="141"/>
      <c r="I1649" s="551"/>
      <c r="J1649" s="552"/>
      <c r="K1649" s="33"/>
      <c r="L1649" s="145"/>
    </row>
    <row r="1650" spans="5:12" s="15" customFormat="1" ht="12.75" customHeight="1" x14ac:dyDescent="0.2">
      <c r="E1650" s="27"/>
      <c r="F1650" s="27"/>
      <c r="G1650" s="141"/>
      <c r="H1650" s="141"/>
      <c r="I1650" s="551"/>
      <c r="J1650" s="552"/>
      <c r="K1650" s="33"/>
      <c r="L1650" s="145"/>
    </row>
    <row r="1651" spans="5:12" s="15" customFormat="1" ht="12.75" customHeight="1" x14ac:dyDescent="0.2">
      <c r="E1651" s="27"/>
      <c r="F1651" s="27"/>
      <c r="G1651" s="141"/>
      <c r="H1651" s="141"/>
      <c r="I1651" s="551"/>
      <c r="J1651" s="552"/>
      <c r="K1651" s="33"/>
      <c r="L1651" s="145"/>
    </row>
    <row r="1652" spans="5:12" s="15" customFormat="1" ht="12.75" customHeight="1" x14ac:dyDescent="0.2">
      <c r="E1652" s="27"/>
      <c r="F1652" s="27"/>
      <c r="G1652" s="141"/>
      <c r="H1652" s="141"/>
      <c r="I1652" s="551"/>
      <c r="J1652" s="552"/>
      <c r="K1652" s="33"/>
      <c r="L1652" s="145"/>
    </row>
    <row r="1653" spans="5:12" s="15" customFormat="1" ht="12.75" customHeight="1" x14ac:dyDescent="0.2">
      <c r="E1653" s="27"/>
      <c r="F1653" s="27"/>
      <c r="G1653" s="141"/>
      <c r="H1653" s="141"/>
      <c r="I1653" s="551"/>
      <c r="J1653" s="552"/>
      <c r="K1653" s="33"/>
      <c r="L1653" s="145"/>
    </row>
    <row r="1654" spans="5:12" s="15" customFormat="1" ht="12.75" customHeight="1" x14ac:dyDescent="0.2">
      <c r="E1654" s="27"/>
      <c r="F1654" s="27"/>
      <c r="G1654" s="141"/>
      <c r="H1654" s="141"/>
      <c r="I1654" s="551"/>
      <c r="J1654" s="552"/>
      <c r="K1654" s="33"/>
      <c r="L1654" s="145"/>
    </row>
    <row r="1655" spans="5:12" s="15" customFormat="1" ht="12.75" customHeight="1" x14ac:dyDescent="0.2">
      <c r="E1655" s="27"/>
      <c r="F1655" s="27"/>
      <c r="G1655" s="141"/>
      <c r="H1655" s="141"/>
      <c r="I1655" s="551"/>
      <c r="J1655" s="552"/>
      <c r="K1655" s="33"/>
      <c r="L1655" s="145"/>
    </row>
    <row r="1656" spans="5:12" s="15" customFormat="1" ht="12.75" customHeight="1" x14ac:dyDescent="0.2">
      <c r="E1656" s="27"/>
      <c r="F1656" s="27"/>
      <c r="G1656" s="141"/>
      <c r="H1656" s="141"/>
      <c r="I1656" s="551"/>
      <c r="J1656" s="552"/>
      <c r="K1656" s="33"/>
      <c r="L1656" s="145"/>
    </row>
    <row r="1657" spans="5:12" s="15" customFormat="1" ht="12.75" customHeight="1" x14ac:dyDescent="0.2">
      <c r="E1657" s="27"/>
      <c r="F1657" s="27"/>
      <c r="G1657" s="141"/>
      <c r="H1657" s="141"/>
      <c r="I1657" s="551"/>
      <c r="J1657" s="552"/>
      <c r="K1657" s="33"/>
      <c r="L1657" s="145"/>
    </row>
    <row r="1658" spans="5:12" s="15" customFormat="1" ht="12.75" customHeight="1" x14ac:dyDescent="0.2">
      <c r="E1658" s="27"/>
      <c r="F1658" s="27"/>
      <c r="G1658" s="141"/>
      <c r="H1658" s="141"/>
      <c r="I1658" s="551"/>
      <c r="J1658" s="552"/>
      <c r="K1658" s="33"/>
      <c r="L1658" s="145"/>
    </row>
    <row r="1659" spans="5:12" s="15" customFormat="1" ht="12.75" customHeight="1" x14ac:dyDescent="0.2">
      <c r="E1659" s="27"/>
      <c r="F1659" s="27"/>
      <c r="G1659" s="141"/>
      <c r="H1659" s="141"/>
      <c r="I1659" s="551"/>
      <c r="J1659" s="552"/>
      <c r="K1659" s="33"/>
      <c r="L1659" s="145"/>
    </row>
    <row r="1660" spans="5:12" s="15" customFormat="1" ht="12.75" customHeight="1" x14ac:dyDescent="0.2">
      <c r="E1660" s="27"/>
      <c r="F1660" s="27"/>
      <c r="G1660" s="141"/>
      <c r="H1660" s="141"/>
      <c r="I1660" s="551"/>
      <c r="J1660" s="552"/>
      <c r="K1660" s="33"/>
      <c r="L1660" s="145"/>
    </row>
    <row r="1661" spans="5:12" s="15" customFormat="1" ht="12.75" customHeight="1" x14ac:dyDescent="0.2">
      <c r="E1661" s="27"/>
      <c r="F1661" s="27"/>
      <c r="G1661" s="141"/>
      <c r="H1661" s="141"/>
      <c r="I1661" s="551"/>
      <c r="J1661" s="552"/>
      <c r="K1661" s="33"/>
      <c r="L1661" s="145"/>
    </row>
    <row r="1662" spans="5:12" s="15" customFormat="1" ht="12.75" customHeight="1" x14ac:dyDescent="0.2">
      <c r="E1662" s="27"/>
      <c r="F1662" s="27"/>
      <c r="G1662" s="141"/>
      <c r="H1662" s="141"/>
      <c r="I1662" s="551"/>
      <c r="J1662" s="552"/>
      <c r="K1662" s="33"/>
      <c r="L1662" s="145"/>
    </row>
    <row r="1663" spans="5:12" s="15" customFormat="1" ht="12.75" customHeight="1" x14ac:dyDescent="0.2">
      <c r="E1663" s="27"/>
      <c r="F1663" s="27"/>
      <c r="G1663" s="141"/>
      <c r="H1663" s="141"/>
      <c r="I1663" s="551"/>
      <c r="J1663" s="552"/>
      <c r="K1663" s="33"/>
      <c r="L1663" s="145"/>
    </row>
    <row r="1664" spans="5:12" s="15" customFormat="1" ht="12.75" customHeight="1" x14ac:dyDescent="0.2">
      <c r="E1664" s="27"/>
      <c r="F1664" s="27"/>
      <c r="G1664" s="141"/>
      <c r="H1664" s="141"/>
      <c r="I1664" s="551"/>
      <c r="J1664" s="552"/>
      <c r="K1664" s="33"/>
      <c r="L1664" s="145"/>
    </row>
    <row r="1665" spans="5:12" s="15" customFormat="1" ht="12.75" customHeight="1" x14ac:dyDescent="0.2">
      <c r="E1665" s="27"/>
      <c r="F1665" s="27"/>
      <c r="G1665" s="141"/>
      <c r="H1665" s="141"/>
      <c r="I1665" s="551"/>
      <c r="J1665" s="552"/>
      <c r="K1665" s="33"/>
      <c r="L1665" s="145"/>
    </row>
    <row r="1666" spans="5:12" s="15" customFormat="1" ht="12.75" customHeight="1" x14ac:dyDescent="0.2">
      <c r="E1666" s="27"/>
      <c r="F1666" s="27"/>
      <c r="G1666" s="141"/>
      <c r="H1666" s="141"/>
      <c r="I1666" s="551"/>
      <c r="J1666" s="552"/>
      <c r="K1666" s="33"/>
      <c r="L1666" s="145"/>
    </row>
    <row r="1667" spans="5:12" s="15" customFormat="1" ht="12.75" customHeight="1" x14ac:dyDescent="0.2">
      <c r="E1667" s="27"/>
      <c r="F1667" s="27"/>
      <c r="G1667" s="141"/>
      <c r="H1667" s="141"/>
      <c r="I1667" s="551"/>
      <c r="J1667" s="552"/>
      <c r="K1667" s="33"/>
      <c r="L1667" s="145"/>
    </row>
    <row r="1668" spans="5:12" s="15" customFormat="1" ht="12.75" customHeight="1" x14ac:dyDescent="0.2">
      <c r="E1668" s="27"/>
      <c r="F1668" s="27"/>
      <c r="G1668" s="141"/>
      <c r="H1668" s="141"/>
      <c r="I1668" s="551"/>
      <c r="J1668" s="552"/>
      <c r="K1668" s="33"/>
      <c r="L1668" s="145"/>
    </row>
    <row r="1669" spans="5:12" s="15" customFormat="1" ht="12.75" customHeight="1" x14ac:dyDescent="0.2">
      <c r="E1669" s="27"/>
      <c r="F1669" s="27"/>
      <c r="G1669" s="141"/>
      <c r="H1669" s="141"/>
      <c r="I1669" s="551"/>
      <c r="J1669" s="552"/>
      <c r="K1669" s="33"/>
      <c r="L1669" s="145"/>
    </row>
    <row r="1670" spans="5:12" s="15" customFormat="1" ht="12.75" customHeight="1" x14ac:dyDescent="0.2">
      <c r="E1670" s="27"/>
      <c r="F1670" s="27"/>
      <c r="G1670" s="141"/>
      <c r="H1670" s="141"/>
      <c r="I1670" s="551"/>
      <c r="J1670" s="552"/>
      <c r="K1670" s="33"/>
      <c r="L1670" s="145"/>
    </row>
    <row r="1671" spans="5:12" s="15" customFormat="1" ht="12.75" customHeight="1" x14ac:dyDescent="0.2">
      <c r="E1671" s="27"/>
      <c r="F1671" s="27"/>
      <c r="G1671" s="141"/>
      <c r="H1671" s="141"/>
      <c r="I1671" s="551"/>
      <c r="J1671" s="552"/>
      <c r="K1671" s="33"/>
      <c r="L1671" s="145"/>
    </row>
    <row r="1672" spans="5:12" s="15" customFormat="1" ht="12.75" customHeight="1" x14ac:dyDescent="0.2">
      <c r="E1672" s="27"/>
      <c r="F1672" s="27"/>
      <c r="G1672" s="141"/>
      <c r="H1672" s="141"/>
      <c r="I1672" s="551"/>
      <c r="J1672" s="552"/>
      <c r="K1672" s="33"/>
      <c r="L1672" s="145"/>
    </row>
    <row r="1673" spans="5:12" s="15" customFormat="1" ht="12.75" customHeight="1" x14ac:dyDescent="0.2">
      <c r="E1673" s="27"/>
      <c r="F1673" s="27"/>
      <c r="G1673" s="141"/>
      <c r="H1673" s="141"/>
      <c r="I1673" s="551"/>
      <c r="J1673" s="552"/>
      <c r="K1673" s="33"/>
      <c r="L1673" s="145"/>
    </row>
    <row r="1674" spans="5:12" s="15" customFormat="1" ht="12.75" customHeight="1" x14ac:dyDescent="0.2">
      <c r="E1674" s="27"/>
      <c r="F1674" s="27"/>
      <c r="G1674" s="141"/>
      <c r="H1674" s="141"/>
      <c r="I1674" s="551"/>
      <c r="J1674" s="552"/>
      <c r="K1674" s="33"/>
      <c r="L1674" s="145"/>
    </row>
    <row r="1675" spans="5:12" s="15" customFormat="1" ht="12.75" customHeight="1" x14ac:dyDescent="0.2">
      <c r="E1675" s="27"/>
      <c r="F1675" s="27"/>
      <c r="G1675" s="141"/>
      <c r="H1675" s="141"/>
      <c r="I1675" s="551"/>
      <c r="J1675" s="552"/>
      <c r="K1675" s="33"/>
      <c r="L1675" s="145"/>
    </row>
    <row r="1676" spans="5:12" s="15" customFormat="1" ht="12.75" customHeight="1" x14ac:dyDescent="0.2">
      <c r="E1676" s="27"/>
      <c r="F1676" s="27"/>
      <c r="G1676" s="141"/>
      <c r="H1676" s="141"/>
      <c r="I1676" s="551"/>
      <c r="J1676" s="552"/>
      <c r="K1676" s="33"/>
      <c r="L1676" s="145"/>
    </row>
    <row r="1677" spans="5:12" s="15" customFormat="1" ht="12.75" customHeight="1" x14ac:dyDescent="0.2">
      <c r="E1677" s="27"/>
      <c r="F1677" s="27"/>
      <c r="G1677" s="141"/>
      <c r="H1677" s="141"/>
      <c r="I1677" s="551"/>
      <c r="J1677" s="552"/>
      <c r="K1677" s="33"/>
      <c r="L1677" s="145"/>
    </row>
    <row r="1678" spans="5:12" s="15" customFormat="1" ht="12.75" customHeight="1" x14ac:dyDescent="0.2">
      <c r="E1678" s="27"/>
      <c r="F1678" s="27"/>
      <c r="G1678" s="141"/>
      <c r="H1678" s="141"/>
      <c r="I1678" s="551"/>
      <c r="J1678" s="552"/>
      <c r="K1678" s="33"/>
      <c r="L1678" s="145"/>
    </row>
    <row r="1679" spans="5:12" s="15" customFormat="1" ht="12.75" customHeight="1" x14ac:dyDescent="0.2">
      <c r="E1679" s="27"/>
      <c r="F1679" s="27"/>
      <c r="G1679" s="141"/>
      <c r="H1679" s="141"/>
      <c r="I1679" s="551"/>
      <c r="J1679" s="552"/>
      <c r="K1679" s="33"/>
      <c r="L1679" s="145"/>
    </row>
    <row r="1680" spans="5:12" s="15" customFormat="1" ht="12.75" customHeight="1" x14ac:dyDescent="0.2">
      <c r="E1680" s="27"/>
      <c r="F1680" s="27"/>
      <c r="G1680" s="141"/>
      <c r="H1680" s="141"/>
      <c r="I1680" s="551"/>
      <c r="J1680" s="552"/>
      <c r="K1680" s="33"/>
      <c r="L1680" s="145"/>
    </row>
    <row r="1681" spans="5:12" s="15" customFormat="1" ht="12.75" customHeight="1" x14ac:dyDescent="0.2">
      <c r="E1681" s="27"/>
      <c r="F1681" s="27"/>
      <c r="G1681" s="141"/>
      <c r="H1681" s="141"/>
      <c r="I1681" s="551"/>
      <c r="J1681" s="552"/>
      <c r="K1681" s="33"/>
      <c r="L1681" s="145"/>
    </row>
    <row r="1682" spans="5:12" s="15" customFormat="1" ht="12.75" customHeight="1" x14ac:dyDescent="0.2">
      <c r="E1682" s="27"/>
      <c r="F1682" s="27"/>
      <c r="G1682" s="141"/>
      <c r="H1682" s="141"/>
      <c r="I1682" s="551"/>
      <c r="J1682" s="552"/>
      <c r="K1682" s="33"/>
      <c r="L1682" s="145"/>
    </row>
    <row r="1683" spans="5:12" s="15" customFormat="1" ht="12.75" customHeight="1" x14ac:dyDescent="0.2">
      <c r="E1683" s="27"/>
      <c r="F1683" s="27"/>
      <c r="G1683" s="141"/>
      <c r="H1683" s="141"/>
      <c r="I1683" s="551"/>
      <c r="J1683" s="552"/>
      <c r="K1683" s="33"/>
      <c r="L1683" s="145"/>
    </row>
    <row r="1684" spans="5:12" s="15" customFormat="1" ht="12.75" customHeight="1" x14ac:dyDescent="0.2">
      <c r="E1684" s="27"/>
      <c r="F1684" s="27"/>
      <c r="G1684" s="141"/>
      <c r="H1684" s="141"/>
      <c r="I1684" s="551"/>
      <c r="J1684" s="552"/>
      <c r="K1684" s="33"/>
      <c r="L1684" s="145"/>
    </row>
    <row r="1685" spans="5:12" s="15" customFormat="1" ht="12.75" customHeight="1" x14ac:dyDescent="0.2">
      <c r="E1685" s="27"/>
      <c r="F1685" s="27"/>
      <c r="G1685" s="141"/>
      <c r="H1685" s="141"/>
      <c r="I1685" s="551"/>
      <c r="J1685" s="552"/>
      <c r="K1685" s="33"/>
      <c r="L1685" s="145"/>
    </row>
    <row r="1686" spans="5:12" s="15" customFormat="1" ht="12.75" customHeight="1" x14ac:dyDescent="0.2">
      <c r="E1686" s="27"/>
      <c r="F1686" s="27"/>
      <c r="G1686" s="141"/>
      <c r="H1686" s="141"/>
      <c r="I1686" s="551"/>
      <c r="J1686" s="552"/>
      <c r="K1686" s="33"/>
      <c r="L1686" s="145"/>
    </row>
    <row r="1687" spans="5:12" s="15" customFormat="1" ht="12.75" customHeight="1" x14ac:dyDescent="0.2">
      <c r="E1687" s="27"/>
      <c r="F1687" s="27"/>
      <c r="G1687" s="141"/>
      <c r="H1687" s="141"/>
      <c r="I1687" s="551"/>
      <c r="J1687" s="552"/>
      <c r="K1687" s="33"/>
      <c r="L1687" s="145"/>
    </row>
    <row r="1688" spans="5:12" s="15" customFormat="1" ht="12.75" customHeight="1" x14ac:dyDescent="0.2">
      <c r="E1688" s="27"/>
      <c r="F1688" s="27"/>
      <c r="G1688" s="141"/>
      <c r="H1688" s="141"/>
      <c r="I1688" s="551"/>
      <c r="J1688" s="552"/>
      <c r="K1688" s="33"/>
      <c r="L1688" s="145"/>
    </row>
    <row r="1689" spans="5:12" s="15" customFormat="1" ht="12.75" customHeight="1" x14ac:dyDescent="0.2">
      <c r="E1689" s="27"/>
      <c r="F1689" s="27"/>
      <c r="G1689" s="141"/>
      <c r="H1689" s="141"/>
      <c r="I1689" s="551"/>
      <c r="J1689" s="552"/>
      <c r="K1689" s="33"/>
      <c r="L1689" s="145"/>
    </row>
    <row r="1690" spans="5:12" s="15" customFormat="1" ht="12.75" customHeight="1" x14ac:dyDescent="0.2">
      <c r="E1690" s="27"/>
      <c r="F1690" s="27"/>
      <c r="G1690" s="141"/>
      <c r="H1690" s="141"/>
      <c r="I1690" s="551"/>
      <c r="J1690" s="552"/>
      <c r="K1690" s="33"/>
      <c r="L1690" s="145"/>
    </row>
    <row r="1691" spans="5:12" s="15" customFormat="1" ht="12.75" customHeight="1" x14ac:dyDescent="0.2">
      <c r="E1691" s="27"/>
      <c r="F1691" s="27"/>
      <c r="G1691" s="141"/>
      <c r="H1691" s="141"/>
      <c r="I1691" s="551"/>
      <c r="J1691" s="552"/>
      <c r="K1691" s="33"/>
      <c r="L1691" s="145"/>
    </row>
    <row r="1692" spans="5:12" s="15" customFormat="1" ht="12.75" customHeight="1" x14ac:dyDescent="0.2">
      <c r="E1692" s="27"/>
      <c r="F1692" s="27"/>
      <c r="G1692" s="141"/>
      <c r="H1692" s="141"/>
      <c r="I1692" s="551"/>
      <c r="J1692" s="552"/>
      <c r="K1692" s="33"/>
      <c r="L1692" s="145"/>
    </row>
    <row r="1693" spans="5:12" s="15" customFormat="1" ht="12.75" customHeight="1" x14ac:dyDescent="0.2">
      <c r="E1693" s="27"/>
      <c r="F1693" s="27"/>
      <c r="G1693" s="141"/>
      <c r="H1693" s="141"/>
      <c r="I1693" s="551"/>
      <c r="J1693" s="552"/>
      <c r="K1693" s="33"/>
      <c r="L1693" s="145"/>
    </row>
    <row r="1694" spans="5:12" s="15" customFormat="1" ht="12.75" customHeight="1" x14ac:dyDescent="0.2">
      <c r="E1694" s="27"/>
      <c r="F1694" s="27"/>
      <c r="G1694" s="141"/>
      <c r="H1694" s="141"/>
      <c r="I1694" s="551"/>
      <c r="J1694" s="552"/>
      <c r="K1694" s="33"/>
      <c r="L1694" s="145"/>
    </row>
    <row r="1695" spans="5:12" s="15" customFormat="1" ht="12.75" customHeight="1" x14ac:dyDescent="0.2">
      <c r="E1695" s="27"/>
      <c r="F1695" s="27"/>
      <c r="G1695" s="141"/>
      <c r="H1695" s="141"/>
      <c r="I1695" s="551"/>
      <c r="J1695" s="552"/>
      <c r="K1695" s="33"/>
      <c r="L1695" s="145"/>
    </row>
    <row r="1696" spans="5:12" s="15" customFormat="1" ht="12.75" customHeight="1" x14ac:dyDescent="0.2">
      <c r="E1696" s="27"/>
      <c r="F1696" s="27"/>
      <c r="G1696" s="141"/>
      <c r="H1696" s="141"/>
      <c r="I1696" s="551"/>
      <c r="J1696" s="552"/>
      <c r="K1696" s="33"/>
      <c r="L1696" s="145"/>
    </row>
    <row r="1697" spans="5:12" s="15" customFormat="1" ht="12.75" customHeight="1" x14ac:dyDescent="0.2">
      <c r="E1697" s="27"/>
      <c r="F1697" s="27"/>
      <c r="G1697" s="141"/>
      <c r="H1697" s="141"/>
      <c r="I1697" s="551"/>
      <c r="J1697" s="552"/>
      <c r="K1697" s="33"/>
      <c r="L1697" s="145"/>
    </row>
    <row r="1698" spans="5:12" s="15" customFormat="1" ht="12.75" customHeight="1" x14ac:dyDescent="0.2">
      <c r="E1698" s="27"/>
      <c r="F1698" s="27"/>
      <c r="G1698" s="141"/>
      <c r="H1698" s="141"/>
      <c r="I1698" s="551"/>
      <c r="J1698" s="552"/>
      <c r="K1698" s="33"/>
      <c r="L1698" s="145"/>
    </row>
    <row r="1699" spans="5:12" s="15" customFormat="1" ht="12.75" customHeight="1" x14ac:dyDescent="0.2">
      <c r="E1699" s="27"/>
      <c r="F1699" s="27"/>
      <c r="G1699" s="141"/>
      <c r="H1699" s="141"/>
      <c r="I1699" s="551"/>
      <c r="J1699" s="552"/>
      <c r="K1699" s="33"/>
      <c r="L1699" s="145"/>
    </row>
    <row r="1700" spans="5:12" s="15" customFormat="1" ht="12.75" customHeight="1" x14ac:dyDescent="0.2">
      <c r="E1700" s="27"/>
      <c r="F1700" s="27"/>
      <c r="G1700" s="141"/>
      <c r="H1700" s="141"/>
      <c r="I1700" s="551"/>
      <c r="J1700" s="552"/>
      <c r="K1700" s="33"/>
      <c r="L1700" s="145"/>
    </row>
    <row r="1701" spans="5:12" s="15" customFormat="1" ht="12.75" customHeight="1" x14ac:dyDescent="0.2">
      <c r="E1701" s="27"/>
      <c r="F1701" s="27"/>
      <c r="G1701" s="141"/>
      <c r="H1701" s="141"/>
      <c r="I1701" s="551"/>
      <c r="J1701" s="552"/>
      <c r="K1701" s="33"/>
      <c r="L1701" s="145"/>
    </row>
    <row r="1702" spans="5:12" s="15" customFormat="1" ht="12.75" customHeight="1" x14ac:dyDescent="0.2">
      <c r="E1702" s="27"/>
      <c r="F1702" s="27"/>
      <c r="G1702" s="141"/>
      <c r="H1702" s="141"/>
      <c r="I1702" s="551"/>
      <c r="J1702" s="552"/>
      <c r="K1702" s="33"/>
      <c r="L1702" s="145"/>
    </row>
    <row r="1703" spans="5:12" s="15" customFormat="1" ht="12.75" customHeight="1" x14ac:dyDescent="0.2">
      <c r="E1703" s="27"/>
      <c r="F1703" s="27"/>
      <c r="G1703" s="141"/>
      <c r="H1703" s="141"/>
      <c r="I1703" s="551"/>
      <c r="J1703" s="552"/>
      <c r="K1703" s="33"/>
      <c r="L1703" s="145"/>
    </row>
    <row r="1704" spans="5:12" s="15" customFormat="1" ht="12.75" customHeight="1" x14ac:dyDescent="0.2">
      <c r="E1704" s="27"/>
      <c r="F1704" s="27"/>
      <c r="G1704" s="141"/>
      <c r="H1704" s="141"/>
      <c r="I1704" s="551"/>
      <c r="J1704" s="552"/>
      <c r="K1704" s="33"/>
      <c r="L1704" s="145"/>
    </row>
    <row r="1705" spans="5:12" s="15" customFormat="1" ht="12.75" customHeight="1" x14ac:dyDescent="0.2">
      <c r="E1705" s="27"/>
      <c r="F1705" s="27"/>
      <c r="G1705" s="141"/>
      <c r="H1705" s="141"/>
      <c r="I1705" s="551"/>
      <c r="J1705" s="552"/>
      <c r="K1705" s="33"/>
      <c r="L1705" s="145"/>
    </row>
    <row r="1706" spans="5:12" s="15" customFormat="1" ht="12.75" customHeight="1" x14ac:dyDescent="0.2">
      <c r="E1706" s="27"/>
      <c r="F1706" s="27"/>
      <c r="G1706" s="141"/>
      <c r="H1706" s="141"/>
      <c r="I1706" s="551"/>
      <c r="J1706" s="552"/>
      <c r="K1706" s="33"/>
      <c r="L1706" s="145"/>
    </row>
    <row r="1707" spans="5:12" s="15" customFormat="1" ht="12.75" customHeight="1" x14ac:dyDescent="0.2">
      <c r="E1707" s="27"/>
      <c r="F1707" s="27"/>
      <c r="G1707" s="141"/>
      <c r="H1707" s="141"/>
      <c r="I1707" s="551"/>
      <c r="J1707" s="552"/>
      <c r="K1707" s="33"/>
      <c r="L1707" s="145"/>
    </row>
    <row r="1708" spans="5:12" s="15" customFormat="1" ht="12.75" customHeight="1" x14ac:dyDescent="0.2">
      <c r="E1708" s="27"/>
      <c r="F1708" s="27"/>
      <c r="G1708" s="141"/>
      <c r="H1708" s="141"/>
      <c r="I1708" s="551"/>
      <c r="J1708" s="552"/>
      <c r="K1708" s="33"/>
      <c r="L1708" s="145"/>
    </row>
    <row r="1709" spans="5:12" s="15" customFormat="1" ht="12.75" customHeight="1" x14ac:dyDescent="0.2">
      <c r="E1709" s="27"/>
      <c r="F1709" s="27"/>
      <c r="G1709" s="141"/>
      <c r="H1709" s="141"/>
      <c r="I1709" s="551"/>
      <c r="J1709" s="552"/>
      <c r="K1709" s="33"/>
      <c r="L1709" s="145"/>
    </row>
    <row r="1710" spans="5:12" s="15" customFormat="1" ht="12.75" customHeight="1" x14ac:dyDescent="0.2">
      <c r="E1710" s="27"/>
      <c r="F1710" s="27"/>
      <c r="G1710" s="141"/>
      <c r="H1710" s="141"/>
      <c r="I1710" s="551"/>
      <c r="J1710" s="552"/>
      <c r="K1710" s="33"/>
      <c r="L1710" s="145"/>
    </row>
    <row r="1711" spans="5:12" s="15" customFormat="1" ht="12.75" customHeight="1" x14ac:dyDescent="0.2">
      <c r="E1711" s="27"/>
      <c r="F1711" s="27"/>
      <c r="G1711" s="141"/>
      <c r="H1711" s="141"/>
      <c r="I1711" s="551"/>
      <c r="J1711" s="552"/>
      <c r="K1711" s="33"/>
      <c r="L1711" s="145"/>
    </row>
    <row r="1712" spans="5:12" s="15" customFormat="1" ht="12.75" customHeight="1" x14ac:dyDescent="0.2">
      <c r="E1712" s="27"/>
      <c r="F1712" s="27"/>
      <c r="G1712" s="141"/>
      <c r="H1712" s="141"/>
      <c r="I1712" s="551"/>
      <c r="J1712" s="552"/>
      <c r="K1712" s="33"/>
      <c r="L1712" s="145"/>
    </row>
    <row r="1713" spans="5:12" s="15" customFormat="1" ht="12.75" customHeight="1" x14ac:dyDescent="0.2">
      <c r="E1713" s="27"/>
      <c r="F1713" s="27"/>
      <c r="G1713" s="141"/>
      <c r="H1713" s="141"/>
      <c r="I1713" s="551"/>
      <c r="J1713" s="552"/>
      <c r="K1713" s="33"/>
      <c r="L1713" s="145"/>
    </row>
    <row r="1714" spans="5:12" s="15" customFormat="1" ht="12.75" customHeight="1" x14ac:dyDescent="0.2">
      <c r="E1714" s="27"/>
      <c r="F1714" s="27"/>
      <c r="G1714" s="141"/>
      <c r="H1714" s="141"/>
      <c r="I1714" s="551"/>
      <c r="J1714" s="552"/>
      <c r="K1714" s="33"/>
      <c r="L1714" s="145"/>
    </row>
    <row r="1715" spans="5:12" s="15" customFormat="1" ht="12.75" customHeight="1" x14ac:dyDescent="0.2">
      <c r="E1715" s="27"/>
      <c r="F1715" s="27"/>
      <c r="G1715" s="141"/>
      <c r="H1715" s="141"/>
      <c r="I1715" s="551"/>
      <c r="J1715" s="552"/>
      <c r="K1715" s="33"/>
      <c r="L1715" s="145"/>
    </row>
    <row r="1716" spans="5:12" s="15" customFormat="1" ht="12.75" customHeight="1" x14ac:dyDescent="0.2">
      <c r="E1716" s="27"/>
      <c r="F1716" s="27"/>
      <c r="G1716" s="141"/>
      <c r="H1716" s="141"/>
      <c r="I1716" s="551"/>
      <c r="J1716" s="552"/>
      <c r="K1716" s="33"/>
      <c r="L1716" s="145"/>
    </row>
    <row r="1717" spans="5:12" s="15" customFormat="1" ht="12.75" customHeight="1" x14ac:dyDescent="0.2">
      <c r="E1717" s="27"/>
      <c r="F1717" s="27"/>
      <c r="G1717" s="141"/>
      <c r="H1717" s="141"/>
      <c r="I1717" s="551"/>
      <c r="J1717" s="552"/>
      <c r="K1717" s="33"/>
      <c r="L1717" s="145"/>
    </row>
    <row r="1718" spans="5:12" s="15" customFormat="1" ht="12.75" customHeight="1" x14ac:dyDescent="0.2">
      <c r="E1718" s="27"/>
      <c r="F1718" s="27"/>
      <c r="G1718" s="141"/>
      <c r="H1718" s="141"/>
      <c r="I1718" s="551"/>
      <c r="J1718" s="552"/>
      <c r="K1718" s="33"/>
      <c r="L1718" s="145"/>
    </row>
    <row r="1719" spans="5:12" s="15" customFormat="1" ht="12.75" customHeight="1" x14ac:dyDescent="0.2">
      <c r="E1719" s="27"/>
      <c r="F1719" s="27"/>
      <c r="G1719" s="141"/>
      <c r="H1719" s="141"/>
      <c r="I1719" s="551"/>
      <c r="J1719" s="552"/>
      <c r="K1719" s="33"/>
      <c r="L1719" s="145"/>
    </row>
    <row r="1720" spans="5:12" s="15" customFormat="1" ht="12.75" customHeight="1" x14ac:dyDescent="0.2">
      <c r="E1720" s="27"/>
      <c r="F1720" s="27"/>
      <c r="G1720" s="141"/>
      <c r="H1720" s="141"/>
      <c r="I1720" s="551"/>
      <c r="J1720" s="552"/>
      <c r="K1720" s="33"/>
      <c r="L1720" s="145"/>
    </row>
    <row r="1721" spans="5:12" s="15" customFormat="1" ht="12.75" customHeight="1" x14ac:dyDescent="0.2">
      <c r="E1721" s="27"/>
      <c r="F1721" s="27"/>
      <c r="G1721" s="141"/>
      <c r="H1721" s="141"/>
      <c r="I1721" s="551"/>
      <c r="J1721" s="552"/>
      <c r="K1721" s="33"/>
      <c r="L1721" s="145"/>
    </row>
    <row r="1722" spans="5:12" s="15" customFormat="1" ht="12.75" customHeight="1" x14ac:dyDescent="0.2">
      <c r="E1722" s="27"/>
      <c r="F1722" s="27"/>
      <c r="G1722" s="141"/>
      <c r="H1722" s="141"/>
      <c r="I1722" s="551"/>
      <c r="J1722" s="552"/>
      <c r="K1722" s="33"/>
      <c r="L1722" s="145"/>
    </row>
    <row r="1723" spans="5:12" s="15" customFormat="1" ht="12.75" customHeight="1" x14ac:dyDescent="0.2">
      <c r="E1723" s="27"/>
      <c r="F1723" s="27"/>
      <c r="G1723" s="141"/>
      <c r="H1723" s="141"/>
      <c r="I1723" s="551"/>
      <c r="J1723" s="552"/>
      <c r="K1723" s="33"/>
      <c r="L1723" s="145"/>
    </row>
    <row r="1724" spans="5:12" s="15" customFormat="1" ht="12.75" customHeight="1" x14ac:dyDescent="0.2">
      <c r="E1724" s="27"/>
      <c r="F1724" s="27"/>
      <c r="G1724" s="141"/>
      <c r="H1724" s="141"/>
      <c r="I1724" s="551"/>
      <c r="J1724" s="552"/>
      <c r="K1724" s="33"/>
      <c r="L1724" s="145"/>
    </row>
    <row r="1725" spans="5:12" s="15" customFormat="1" ht="12.75" customHeight="1" x14ac:dyDescent="0.2">
      <c r="E1725" s="27"/>
      <c r="F1725" s="27"/>
      <c r="G1725" s="141"/>
      <c r="H1725" s="141"/>
      <c r="I1725" s="551"/>
      <c r="J1725" s="552"/>
      <c r="K1725" s="33"/>
      <c r="L1725" s="145"/>
    </row>
    <row r="1726" spans="5:12" s="15" customFormat="1" ht="12.75" customHeight="1" x14ac:dyDescent="0.2">
      <c r="E1726" s="27"/>
      <c r="F1726" s="27"/>
      <c r="G1726" s="141"/>
      <c r="H1726" s="141"/>
      <c r="I1726" s="551"/>
      <c r="J1726" s="552"/>
      <c r="K1726" s="33"/>
      <c r="L1726" s="145"/>
    </row>
    <row r="1727" spans="5:12" s="15" customFormat="1" ht="12.75" customHeight="1" x14ac:dyDescent="0.2">
      <c r="E1727" s="27"/>
      <c r="F1727" s="27"/>
      <c r="G1727" s="141"/>
      <c r="H1727" s="141"/>
      <c r="I1727" s="551"/>
      <c r="J1727" s="552"/>
      <c r="K1727" s="33"/>
      <c r="L1727" s="145"/>
    </row>
    <row r="1728" spans="5:12" s="15" customFormat="1" ht="12.75" customHeight="1" x14ac:dyDescent="0.2">
      <c r="E1728" s="27"/>
      <c r="F1728" s="27"/>
      <c r="G1728" s="141"/>
      <c r="H1728" s="141"/>
      <c r="I1728" s="551"/>
      <c r="J1728" s="552"/>
      <c r="K1728" s="33"/>
      <c r="L1728" s="145"/>
    </row>
    <row r="1729" spans="5:12" s="15" customFormat="1" ht="12.75" customHeight="1" x14ac:dyDescent="0.2">
      <c r="E1729" s="27"/>
      <c r="F1729" s="27"/>
      <c r="G1729" s="141"/>
      <c r="H1729" s="141"/>
      <c r="I1729" s="551"/>
      <c r="J1729" s="552"/>
      <c r="K1729" s="33"/>
      <c r="L1729" s="145"/>
    </row>
    <row r="1730" spans="5:12" s="15" customFormat="1" ht="12.75" customHeight="1" x14ac:dyDescent="0.2">
      <c r="E1730" s="27"/>
      <c r="F1730" s="27"/>
      <c r="G1730" s="141"/>
      <c r="H1730" s="141"/>
      <c r="I1730" s="551"/>
      <c r="J1730" s="552"/>
      <c r="K1730" s="33"/>
      <c r="L1730" s="145"/>
    </row>
    <row r="1731" spans="5:12" s="15" customFormat="1" ht="12.75" customHeight="1" x14ac:dyDescent="0.2">
      <c r="E1731" s="27"/>
      <c r="F1731" s="27"/>
      <c r="G1731" s="141"/>
      <c r="H1731" s="141"/>
      <c r="I1731" s="551"/>
      <c r="J1731" s="552"/>
      <c r="K1731" s="33"/>
      <c r="L1731" s="145"/>
    </row>
    <row r="1732" spans="5:12" s="15" customFormat="1" ht="12.75" customHeight="1" x14ac:dyDescent="0.2">
      <c r="E1732" s="27"/>
      <c r="F1732" s="27"/>
      <c r="G1732" s="141"/>
      <c r="H1732" s="141"/>
      <c r="I1732" s="551"/>
      <c r="J1732" s="552"/>
      <c r="K1732" s="33"/>
      <c r="L1732" s="145"/>
    </row>
    <row r="1733" spans="5:12" s="15" customFormat="1" ht="12.75" customHeight="1" x14ac:dyDescent="0.2">
      <c r="E1733" s="27"/>
      <c r="F1733" s="27"/>
      <c r="G1733" s="141"/>
      <c r="H1733" s="141"/>
      <c r="I1733" s="551"/>
      <c r="J1733" s="552"/>
      <c r="K1733" s="33"/>
      <c r="L1733" s="145"/>
    </row>
    <row r="1734" spans="5:12" s="15" customFormat="1" ht="12.75" customHeight="1" x14ac:dyDescent="0.2">
      <c r="E1734" s="27"/>
      <c r="F1734" s="27"/>
      <c r="G1734" s="141"/>
      <c r="H1734" s="141"/>
      <c r="I1734" s="551"/>
      <c r="J1734" s="552"/>
      <c r="K1734" s="33"/>
      <c r="L1734" s="145"/>
    </row>
    <row r="1735" spans="5:12" s="15" customFormat="1" ht="12.75" customHeight="1" x14ac:dyDescent="0.2">
      <c r="E1735" s="27"/>
      <c r="F1735" s="27"/>
      <c r="G1735" s="141"/>
      <c r="H1735" s="141"/>
      <c r="I1735" s="551"/>
      <c r="J1735" s="552"/>
      <c r="K1735" s="33"/>
      <c r="L1735" s="145"/>
    </row>
    <row r="1736" spans="5:12" s="15" customFormat="1" ht="12.75" customHeight="1" x14ac:dyDescent="0.2">
      <c r="E1736" s="27"/>
      <c r="F1736" s="27"/>
      <c r="G1736" s="141"/>
      <c r="H1736" s="141"/>
      <c r="I1736" s="551"/>
      <c r="J1736" s="552"/>
      <c r="K1736" s="33"/>
      <c r="L1736" s="145"/>
    </row>
    <row r="1737" spans="5:12" s="15" customFormat="1" ht="12.75" customHeight="1" x14ac:dyDescent="0.2">
      <c r="E1737" s="27"/>
      <c r="F1737" s="27"/>
      <c r="G1737" s="141"/>
      <c r="H1737" s="141"/>
      <c r="I1737" s="551"/>
      <c r="J1737" s="552"/>
      <c r="K1737" s="33"/>
      <c r="L1737" s="145"/>
    </row>
    <row r="1738" spans="5:12" s="15" customFormat="1" ht="12.75" customHeight="1" x14ac:dyDescent="0.2">
      <c r="E1738" s="27"/>
      <c r="F1738" s="27"/>
      <c r="G1738" s="141"/>
      <c r="H1738" s="141"/>
      <c r="I1738" s="551"/>
      <c r="J1738" s="552"/>
      <c r="K1738" s="33"/>
      <c r="L1738" s="145"/>
    </row>
    <row r="1739" spans="5:12" s="15" customFormat="1" ht="12.75" customHeight="1" x14ac:dyDescent="0.2">
      <c r="E1739" s="27"/>
      <c r="F1739" s="27"/>
      <c r="G1739" s="141"/>
      <c r="H1739" s="141"/>
      <c r="I1739" s="551"/>
      <c r="J1739" s="552"/>
      <c r="K1739" s="33"/>
      <c r="L1739" s="145"/>
    </row>
    <row r="1740" spans="5:12" s="15" customFormat="1" ht="12.75" customHeight="1" x14ac:dyDescent="0.2">
      <c r="E1740" s="27"/>
      <c r="F1740" s="27"/>
      <c r="G1740" s="141"/>
      <c r="H1740" s="141"/>
      <c r="I1740" s="551"/>
      <c r="J1740" s="552"/>
      <c r="K1740" s="33"/>
      <c r="L1740" s="145"/>
    </row>
    <row r="1741" spans="5:12" s="15" customFormat="1" ht="12.75" customHeight="1" x14ac:dyDescent="0.2">
      <c r="E1741" s="27"/>
      <c r="F1741" s="27"/>
      <c r="G1741" s="141"/>
      <c r="H1741" s="141"/>
      <c r="I1741" s="551"/>
      <c r="J1741" s="552"/>
      <c r="K1741" s="33"/>
      <c r="L1741" s="145"/>
    </row>
    <row r="1742" spans="5:12" s="15" customFormat="1" ht="12.75" customHeight="1" x14ac:dyDescent="0.2">
      <c r="E1742" s="27"/>
      <c r="F1742" s="27"/>
      <c r="G1742" s="141"/>
      <c r="H1742" s="141"/>
      <c r="I1742" s="551"/>
      <c r="J1742" s="552"/>
      <c r="K1742" s="33"/>
      <c r="L1742" s="145"/>
    </row>
    <row r="1743" spans="5:12" s="15" customFormat="1" ht="12.75" customHeight="1" x14ac:dyDescent="0.2">
      <c r="E1743" s="27"/>
      <c r="F1743" s="27"/>
      <c r="G1743" s="141"/>
      <c r="H1743" s="141"/>
      <c r="I1743" s="551"/>
      <c r="J1743" s="552"/>
      <c r="K1743" s="33"/>
      <c r="L1743" s="145"/>
    </row>
    <row r="1744" spans="5:12" s="15" customFormat="1" ht="12.75" customHeight="1" x14ac:dyDescent="0.2">
      <c r="E1744" s="27"/>
      <c r="F1744" s="27"/>
      <c r="G1744" s="141"/>
      <c r="H1744" s="141"/>
      <c r="I1744" s="551"/>
      <c r="J1744" s="552"/>
      <c r="K1744" s="33"/>
      <c r="L1744" s="145"/>
    </row>
    <row r="1745" spans="5:12" s="15" customFormat="1" ht="12.75" customHeight="1" x14ac:dyDescent="0.2">
      <c r="E1745" s="27"/>
      <c r="F1745" s="27"/>
      <c r="G1745" s="141"/>
      <c r="H1745" s="141"/>
      <c r="I1745" s="551"/>
      <c r="J1745" s="552"/>
      <c r="K1745" s="33"/>
      <c r="L1745" s="145"/>
    </row>
    <row r="1746" spans="5:12" s="15" customFormat="1" ht="12.75" customHeight="1" x14ac:dyDescent="0.2">
      <c r="E1746" s="27"/>
      <c r="F1746" s="27"/>
      <c r="G1746" s="141"/>
      <c r="H1746" s="141"/>
      <c r="I1746" s="551"/>
      <c r="J1746" s="552"/>
      <c r="K1746" s="33"/>
      <c r="L1746" s="145"/>
    </row>
    <row r="1747" spans="5:12" s="15" customFormat="1" ht="12.75" customHeight="1" x14ac:dyDescent="0.2">
      <c r="E1747" s="27"/>
      <c r="F1747" s="27"/>
      <c r="G1747" s="141"/>
      <c r="H1747" s="141"/>
      <c r="I1747" s="551"/>
      <c r="J1747" s="552"/>
      <c r="K1747" s="33"/>
      <c r="L1747" s="145"/>
    </row>
    <row r="1748" spans="5:12" s="15" customFormat="1" ht="12.75" customHeight="1" x14ac:dyDescent="0.2">
      <c r="E1748" s="27"/>
      <c r="F1748" s="27"/>
      <c r="G1748" s="141"/>
      <c r="H1748" s="141"/>
      <c r="I1748" s="551"/>
      <c r="J1748" s="552"/>
      <c r="K1748" s="33"/>
      <c r="L1748" s="145"/>
    </row>
    <row r="1749" spans="5:12" s="15" customFormat="1" ht="12.75" customHeight="1" x14ac:dyDescent="0.2">
      <c r="E1749" s="27"/>
      <c r="F1749" s="27"/>
      <c r="G1749" s="141"/>
      <c r="H1749" s="141"/>
      <c r="I1749" s="551"/>
      <c r="J1749" s="552"/>
      <c r="K1749" s="33"/>
      <c r="L1749" s="145"/>
    </row>
    <row r="1750" spans="5:12" s="15" customFormat="1" ht="12.75" customHeight="1" x14ac:dyDescent="0.2">
      <c r="E1750" s="27"/>
      <c r="F1750" s="27"/>
      <c r="G1750" s="141"/>
      <c r="H1750" s="141"/>
      <c r="I1750" s="551"/>
      <c r="J1750" s="552"/>
      <c r="K1750" s="33"/>
      <c r="L1750" s="145"/>
    </row>
    <row r="1751" spans="5:12" s="15" customFormat="1" ht="12.75" customHeight="1" x14ac:dyDescent="0.2">
      <c r="E1751" s="27"/>
      <c r="F1751" s="27"/>
      <c r="G1751" s="141"/>
      <c r="H1751" s="141"/>
      <c r="I1751" s="551"/>
      <c r="J1751" s="552"/>
      <c r="K1751" s="33"/>
      <c r="L1751" s="145"/>
    </row>
    <row r="1752" spans="5:12" s="15" customFormat="1" ht="12.75" customHeight="1" x14ac:dyDescent="0.2">
      <c r="E1752" s="27"/>
      <c r="F1752" s="27"/>
      <c r="G1752" s="141"/>
      <c r="H1752" s="141"/>
      <c r="I1752" s="551"/>
      <c r="J1752" s="552"/>
      <c r="K1752" s="33"/>
      <c r="L1752" s="145"/>
    </row>
    <row r="1753" spans="5:12" s="15" customFormat="1" ht="12.75" customHeight="1" x14ac:dyDescent="0.2">
      <c r="E1753" s="27"/>
      <c r="F1753" s="27"/>
      <c r="G1753" s="141"/>
      <c r="H1753" s="141"/>
      <c r="I1753" s="551"/>
      <c r="J1753" s="552"/>
      <c r="K1753" s="33"/>
      <c r="L1753" s="145"/>
    </row>
    <row r="1754" spans="5:12" s="15" customFormat="1" ht="12.75" customHeight="1" x14ac:dyDescent="0.2">
      <c r="E1754" s="27"/>
      <c r="F1754" s="27"/>
      <c r="G1754" s="141"/>
      <c r="H1754" s="141"/>
      <c r="I1754" s="551"/>
      <c r="J1754" s="552"/>
      <c r="K1754" s="33"/>
      <c r="L1754" s="145"/>
    </row>
    <row r="1755" spans="5:12" s="15" customFormat="1" ht="12.75" customHeight="1" x14ac:dyDescent="0.2">
      <c r="E1755" s="27"/>
      <c r="F1755" s="27"/>
      <c r="G1755" s="141"/>
      <c r="H1755" s="141"/>
      <c r="I1755" s="551"/>
      <c r="J1755" s="552"/>
      <c r="K1755" s="33"/>
      <c r="L1755" s="145"/>
    </row>
    <row r="1756" spans="5:12" s="15" customFormat="1" ht="12.75" customHeight="1" x14ac:dyDescent="0.2">
      <c r="E1756" s="27"/>
      <c r="F1756" s="27"/>
      <c r="G1756" s="141"/>
      <c r="H1756" s="141"/>
      <c r="I1756" s="551"/>
      <c r="J1756" s="552"/>
      <c r="K1756" s="33"/>
      <c r="L1756" s="145"/>
    </row>
    <row r="1757" spans="5:12" s="15" customFormat="1" ht="12.75" customHeight="1" x14ac:dyDescent="0.2">
      <c r="E1757" s="27"/>
      <c r="F1757" s="27"/>
      <c r="G1757" s="141"/>
      <c r="H1757" s="141"/>
      <c r="I1757" s="551"/>
      <c r="J1757" s="552"/>
      <c r="K1757" s="33"/>
      <c r="L1757" s="145"/>
    </row>
    <row r="1758" spans="5:12" s="15" customFormat="1" ht="12.75" customHeight="1" x14ac:dyDescent="0.2">
      <c r="E1758" s="27"/>
      <c r="F1758" s="27"/>
      <c r="G1758" s="141"/>
      <c r="H1758" s="141"/>
      <c r="I1758" s="551"/>
      <c r="J1758" s="552"/>
      <c r="K1758" s="33"/>
      <c r="L1758" s="145"/>
    </row>
    <row r="1759" spans="5:12" s="15" customFormat="1" ht="12.75" customHeight="1" x14ac:dyDescent="0.2">
      <c r="E1759" s="27"/>
      <c r="F1759" s="27"/>
      <c r="G1759" s="141"/>
      <c r="H1759" s="141"/>
      <c r="I1759" s="551"/>
      <c r="J1759" s="552"/>
      <c r="K1759" s="33"/>
      <c r="L1759" s="145"/>
    </row>
    <row r="1760" spans="5:12" s="15" customFormat="1" ht="12.75" customHeight="1" x14ac:dyDescent="0.2">
      <c r="E1760" s="27"/>
      <c r="F1760" s="27"/>
      <c r="G1760" s="141"/>
      <c r="H1760" s="141"/>
      <c r="I1760" s="551"/>
      <c r="J1760" s="552"/>
      <c r="K1760" s="33"/>
      <c r="L1760" s="145"/>
    </row>
    <row r="1761" spans="5:12" s="15" customFormat="1" ht="12.75" customHeight="1" x14ac:dyDescent="0.2">
      <c r="E1761" s="27"/>
      <c r="F1761" s="27"/>
      <c r="G1761" s="141"/>
      <c r="H1761" s="141"/>
      <c r="I1761" s="551"/>
      <c r="J1761" s="552"/>
      <c r="K1761" s="33"/>
      <c r="L1761" s="145"/>
    </row>
    <row r="1762" spans="5:12" s="15" customFormat="1" ht="12.75" customHeight="1" x14ac:dyDescent="0.2">
      <c r="E1762" s="27"/>
      <c r="F1762" s="27"/>
      <c r="G1762" s="141"/>
      <c r="H1762" s="141"/>
      <c r="I1762" s="551"/>
      <c r="J1762" s="552"/>
      <c r="K1762" s="33"/>
      <c r="L1762" s="145"/>
    </row>
    <row r="1763" spans="5:12" s="15" customFormat="1" ht="12.75" customHeight="1" x14ac:dyDescent="0.2">
      <c r="E1763" s="27"/>
      <c r="F1763" s="27"/>
      <c r="G1763" s="141"/>
      <c r="H1763" s="141"/>
      <c r="I1763" s="551"/>
      <c r="J1763" s="552"/>
      <c r="K1763" s="33"/>
      <c r="L1763" s="145"/>
    </row>
    <row r="1764" spans="5:12" s="15" customFormat="1" ht="12.75" customHeight="1" x14ac:dyDescent="0.2">
      <c r="E1764" s="27"/>
      <c r="F1764" s="27"/>
      <c r="G1764" s="141"/>
      <c r="H1764" s="141"/>
      <c r="I1764" s="551"/>
      <c r="J1764" s="552"/>
      <c r="K1764" s="33"/>
      <c r="L1764" s="145"/>
    </row>
    <row r="1765" spans="5:12" s="15" customFormat="1" ht="12.75" customHeight="1" x14ac:dyDescent="0.2">
      <c r="E1765" s="27"/>
      <c r="F1765" s="27"/>
      <c r="G1765" s="141"/>
      <c r="H1765" s="141"/>
      <c r="I1765" s="551"/>
      <c r="J1765" s="552"/>
      <c r="K1765" s="33"/>
      <c r="L1765" s="145"/>
    </row>
    <row r="1766" spans="5:12" s="15" customFormat="1" ht="12.75" customHeight="1" x14ac:dyDescent="0.2">
      <c r="E1766" s="27"/>
      <c r="F1766" s="27"/>
      <c r="G1766" s="141"/>
      <c r="H1766" s="141"/>
      <c r="I1766" s="551"/>
      <c r="J1766" s="552"/>
      <c r="K1766" s="33"/>
      <c r="L1766" s="145"/>
    </row>
    <row r="1767" spans="5:12" s="15" customFormat="1" ht="12.75" customHeight="1" x14ac:dyDescent="0.2">
      <c r="E1767" s="27"/>
      <c r="F1767" s="27"/>
      <c r="G1767" s="141"/>
      <c r="H1767" s="141"/>
      <c r="I1767" s="551"/>
      <c r="J1767" s="552"/>
      <c r="K1767" s="33"/>
      <c r="L1767" s="145"/>
    </row>
    <row r="1768" spans="5:12" s="15" customFormat="1" ht="12.75" customHeight="1" x14ac:dyDescent="0.2">
      <c r="E1768" s="27"/>
      <c r="F1768" s="27"/>
      <c r="G1768" s="141"/>
      <c r="H1768" s="141"/>
      <c r="I1768" s="551"/>
      <c r="J1768" s="552"/>
      <c r="K1768" s="33"/>
      <c r="L1768" s="145"/>
    </row>
    <row r="1769" spans="5:12" s="15" customFormat="1" ht="12.75" customHeight="1" x14ac:dyDescent="0.2">
      <c r="E1769" s="27"/>
      <c r="F1769" s="27"/>
      <c r="G1769" s="141"/>
      <c r="H1769" s="141"/>
      <c r="I1769" s="551"/>
      <c r="J1769" s="552"/>
      <c r="K1769" s="33"/>
      <c r="L1769" s="145"/>
    </row>
    <row r="1770" spans="5:12" s="15" customFormat="1" ht="12.75" customHeight="1" x14ac:dyDescent="0.2">
      <c r="E1770" s="27"/>
      <c r="F1770" s="27"/>
      <c r="G1770" s="141"/>
      <c r="H1770" s="141"/>
      <c r="I1770" s="551"/>
      <c r="J1770" s="552"/>
      <c r="K1770" s="33"/>
      <c r="L1770" s="145"/>
    </row>
    <row r="1771" spans="5:12" s="15" customFormat="1" ht="12.75" customHeight="1" x14ac:dyDescent="0.2">
      <c r="E1771" s="27"/>
      <c r="F1771" s="27"/>
      <c r="G1771" s="141"/>
      <c r="H1771" s="141"/>
      <c r="I1771" s="551"/>
      <c r="J1771" s="552"/>
      <c r="K1771" s="33"/>
      <c r="L1771" s="145"/>
    </row>
    <row r="1772" spans="5:12" s="15" customFormat="1" ht="12.75" customHeight="1" x14ac:dyDescent="0.2">
      <c r="E1772" s="27"/>
      <c r="F1772" s="27"/>
      <c r="G1772" s="141"/>
      <c r="H1772" s="141"/>
      <c r="I1772" s="551"/>
      <c r="J1772" s="552"/>
      <c r="K1772" s="33"/>
      <c r="L1772" s="145"/>
    </row>
    <row r="1773" spans="5:12" s="15" customFormat="1" ht="12.75" customHeight="1" x14ac:dyDescent="0.2">
      <c r="E1773" s="27"/>
      <c r="F1773" s="27"/>
      <c r="G1773" s="141"/>
      <c r="H1773" s="141"/>
      <c r="I1773" s="551"/>
      <c r="J1773" s="552"/>
      <c r="K1773" s="33"/>
      <c r="L1773" s="145"/>
    </row>
    <row r="1774" spans="5:12" s="15" customFormat="1" ht="12.75" customHeight="1" x14ac:dyDescent="0.2">
      <c r="E1774" s="27"/>
      <c r="F1774" s="27"/>
      <c r="G1774" s="141"/>
      <c r="H1774" s="141"/>
      <c r="I1774" s="551"/>
      <c r="J1774" s="552"/>
      <c r="K1774" s="33"/>
      <c r="L1774" s="145"/>
    </row>
    <row r="1775" spans="5:12" s="15" customFormat="1" ht="12.75" customHeight="1" x14ac:dyDescent="0.2">
      <c r="E1775" s="27"/>
      <c r="F1775" s="27"/>
      <c r="G1775" s="141"/>
      <c r="H1775" s="141"/>
      <c r="I1775" s="551"/>
      <c r="J1775" s="552"/>
      <c r="K1775" s="33"/>
      <c r="L1775" s="145"/>
    </row>
    <row r="1776" spans="5:12" s="15" customFormat="1" ht="12.75" customHeight="1" x14ac:dyDescent="0.2">
      <c r="E1776" s="27"/>
      <c r="F1776" s="27"/>
      <c r="G1776" s="141"/>
      <c r="H1776" s="141"/>
      <c r="I1776" s="551"/>
      <c r="J1776" s="552"/>
      <c r="K1776" s="33"/>
      <c r="L1776" s="145"/>
    </row>
    <row r="1777" spans="5:12" s="15" customFormat="1" ht="12.75" customHeight="1" x14ac:dyDescent="0.2">
      <c r="E1777" s="27"/>
      <c r="F1777" s="27"/>
      <c r="G1777" s="141"/>
      <c r="H1777" s="141"/>
      <c r="I1777" s="551"/>
      <c r="J1777" s="552"/>
      <c r="K1777" s="33"/>
      <c r="L1777" s="145"/>
    </row>
    <row r="1778" spans="5:12" s="15" customFormat="1" ht="12.75" customHeight="1" x14ac:dyDescent="0.2">
      <c r="E1778" s="27"/>
      <c r="F1778" s="27"/>
      <c r="G1778" s="141"/>
      <c r="H1778" s="141"/>
      <c r="I1778" s="551"/>
      <c r="J1778" s="552"/>
      <c r="K1778" s="33"/>
      <c r="L1778" s="145"/>
    </row>
    <row r="1779" spans="5:12" s="15" customFormat="1" ht="12.75" customHeight="1" x14ac:dyDescent="0.2">
      <c r="E1779" s="27"/>
      <c r="F1779" s="27"/>
      <c r="G1779" s="141"/>
      <c r="H1779" s="141"/>
      <c r="I1779" s="551"/>
      <c r="J1779" s="552"/>
      <c r="K1779" s="33"/>
      <c r="L1779" s="145"/>
    </row>
    <row r="1780" spans="5:12" s="15" customFormat="1" ht="12.75" customHeight="1" x14ac:dyDescent="0.2">
      <c r="E1780" s="27"/>
      <c r="F1780" s="27"/>
      <c r="G1780" s="141"/>
      <c r="H1780" s="141"/>
      <c r="I1780" s="551"/>
      <c r="J1780" s="552"/>
      <c r="K1780" s="33"/>
      <c r="L1780" s="145"/>
    </row>
    <row r="1781" spans="5:12" s="15" customFormat="1" ht="12.75" customHeight="1" x14ac:dyDescent="0.2">
      <c r="E1781" s="27"/>
      <c r="F1781" s="27"/>
      <c r="G1781" s="141"/>
      <c r="H1781" s="141"/>
      <c r="I1781" s="551"/>
      <c r="J1781" s="552"/>
      <c r="K1781" s="33"/>
      <c r="L1781" s="145"/>
    </row>
    <row r="1782" spans="5:12" s="15" customFormat="1" ht="12.75" customHeight="1" x14ac:dyDescent="0.2">
      <c r="E1782" s="27"/>
      <c r="F1782" s="27"/>
      <c r="G1782" s="141"/>
      <c r="H1782" s="141"/>
      <c r="I1782" s="551"/>
      <c r="J1782" s="552"/>
      <c r="K1782" s="33"/>
      <c r="L1782" s="145"/>
    </row>
    <row r="1783" spans="5:12" s="15" customFormat="1" ht="12.75" customHeight="1" x14ac:dyDescent="0.2">
      <c r="E1783" s="27"/>
      <c r="F1783" s="27"/>
      <c r="G1783" s="141"/>
      <c r="H1783" s="141"/>
      <c r="I1783" s="551"/>
      <c r="J1783" s="552"/>
      <c r="K1783" s="33"/>
      <c r="L1783" s="145"/>
    </row>
    <row r="1784" spans="5:12" s="15" customFormat="1" ht="12.75" customHeight="1" x14ac:dyDescent="0.2">
      <c r="E1784" s="27"/>
      <c r="F1784" s="27"/>
      <c r="G1784" s="141"/>
      <c r="H1784" s="141"/>
      <c r="I1784" s="551"/>
      <c r="J1784" s="552"/>
      <c r="K1784" s="33"/>
      <c r="L1784" s="145"/>
    </row>
    <row r="1785" spans="5:12" s="15" customFormat="1" ht="12.75" customHeight="1" x14ac:dyDescent="0.2">
      <c r="E1785" s="27"/>
      <c r="F1785" s="27"/>
      <c r="G1785" s="141"/>
      <c r="H1785" s="141"/>
      <c r="I1785" s="551"/>
      <c r="J1785" s="552"/>
      <c r="K1785" s="33"/>
      <c r="L1785" s="145"/>
    </row>
    <row r="1786" spans="5:12" s="15" customFormat="1" ht="12.75" customHeight="1" x14ac:dyDescent="0.2">
      <c r="E1786" s="27"/>
      <c r="F1786" s="27"/>
      <c r="G1786" s="141"/>
      <c r="H1786" s="141"/>
      <c r="I1786" s="551"/>
      <c r="J1786" s="552"/>
      <c r="K1786" s="33"/>
      <c r="L1786" s="145"/>
    </row>
    <row r="1787" spans="5:12" s="15" customFormat="1" ht="12.75" customHeight="1" x14ac:dyDescent="0.2">
      <c r="E1787" s="27"/>
      <c r="F1787" s="27"/>
      <c r="G1787" s="141"/>
      <c r="H1787" s="141"/>
      <c r="I1787" s="551"/>
      <c r="J1787" s="552"/>
      <c r="K1787" s="33"/>
      <c r="L1787" s="145"/>
    </row>
    <row r="1788" spans="5:12" s="15" customFormat="1" ht="12.75" customHeight="1" x14ac:dyDescent="0.2">
      <c r="E1788" s="27"/>
      <c r="F1788" s="27"/>
      <c r="G1788" s="141"/>
      <c r="H1788" s="141"/>
      <c r="I1788" s="551"/>
      <c r="J1788" s="552"/>
      <c r="K1788" s="33"/>
      <c r="L1788" s="145"/>
    </row>
    <row r="1789" spans="5:12" s="15" customFormat="1" ht="12.75" customHeight="1" x14ac:dyDescent="0.2">
      <c r="E1789" s="27"/>
      <c r="F1789" s="27"/>
      <c r="G1789" s="141"/>
      <c r="H1789" s="141"/>
      <c r="I1789" s="551"/>
      <c r="J1789" s="552"/>
      <c r="K1789" s="33"/>
      <c r="L1789" s="145"/>
    </row>
    <row r="1790" spans="5:12" s="15" customFormat="1" ht="12.75" customHeight="1" x14ac:dyDescent="0.2">
      <c r="E1790" s="27"/>
      <c r="F1790" s="27"/>
      <c r="G1790" s="141"/>
      <c r="H1790" s="141"/>
      <c r="I1790" s="551"/>
      <c r="J1790" s="552"/>
      <c r="K1790" s="33"/>
      <c r="L1790" s="145"/>
    </row>
    <row r="1791" spans="5:12" s="15" customFormat="1" ht="12.75" customHeight="1" x14ac:dyDescent="0.2">
      <c r="E1791" s="27"/>
      <c r="F1791" s="27"/>
      <c r="G1791" s="141"/>
      <c r="H1791" s="141"/>
      <c r="I1791" s="551"/>
      <c r="J1791" s="552"/>
      <c r="K1791" s="33"/>
      <c r="L1791" s="145"/>
    </row>
    <row r="1792" spans="5:12" s="15" customFormat="1" ht="12.75" customHeight="1" x14ac:dyDescent="0.2">
      <c r="E1792" s="27"/>
      <c r="F1792" s="27"/>
      <c r="G1792" s="141"/>
      <c r="H1792" s="141"/>
      <c r="I1792" s="551"/>
      <c r="J1792" s="552"/>
      <c r="K1792" s="33"/>
      <c r="L1792" s="145"/>
    </row>
    <row r="1793" spans="5:12" s="15" customFormat="1" ht="12.75" customHeight="1" x14ac:dyDescent="0.2">
      <c r="E1793" s="27"/>
      <c r="F1793" s="27"/>
      <c r="G1793" s="141"/>
      <c r="H1793" s="141"/>
      <c r="I1793" s="551"/>
      <c r="J1793" s="552"/>
      <c r="K1793" s="33"/>
      <c r="L1793" s="145"/>
    </row>
    <row r="1794" spans="5:12" s="15" customFormat="1" ht="12.75" customHeight="1" x14ac:dyDescent="0.2">
      <c r="E1794" s="27"/>
      <c r="F1794" s="27"/>
      <c r="G1794" s="141"/>
      <c r="H1794" s="141"/>
      <c r="I1794" s="551"/>
      <c r="J1794" s="552"/>
      <c r="K1794" s="33"/>
      <c r="L1794" s="145"/>
    </row>
    <row r="1795" spans="5:12" s="15" customFormat="1" ht="12.75" customHeight="1" x14ac:dyDescent="0.2">
      <c r="E1795" s="27"/>
      <c r="F1795" s="27"/>
      <c r="G1795" s="141"/>
      <c r="H1795" s="141"/>
      <c r="I1795" s="551"/>
      <c r="J1795" s="552"/>
      <c r="K1795" s="33"/>
      <c r="L1795" s="145"/>
    </row>
    <row r="1796" spans="5:12" s="15" customFormat="1" ht="12.75" customHeight="1" x14ac:dyDescent="0.2">
      <c r="E1796" s="27"/>
      <c r="F1796" s="27"/>
      <c r="G1796" s="141"/>
      <c r="H1796" s="141"/>
      <c r="I1796" s="551"/>
      <c r="J1796" s="552"/>
      <c r="K1796" s="33"/>
      <c r="L1796" s="145"/>
    </row>
    <row r="1797" spans="5:12" s="15" customFormat="1" ht="12.75" customHeight="1" x14ac:dyDescent="0.2">
      <c r="E1797" s="27"/>
      <c r="F1797" s="27"/>
      <c r="G1797" s="141"/>
      <c r="H1797" s="141"/>
      <c r="I1797" s="551"/>
      <c r="J1797" s="552"/>
      <c r="K1797" s="33"/>
      <c r="L1797" s="145"/>
    </row>
    <row r="1798" spans="5:12" s="15" customFormat="1" ht="12.75" customHeight="1" x14ac:dyDescent="0.2">
      <c r="E1798" s="27"/>
      <c r="F1798" s="27"/>
      <c r="G1798" s="141"/>
      <c r="H1798" s="141"/>
      <c r="I1798" s="551"/>
      <c r="J1798" s="552"/>
      <c r="K1798" s="33"/>
      <c r="L1798" s="145"/>
    </row>
    <row r="1799" spans="5:12" s="15" customFormat="1" ht="12.75" customHeight="1" x14ac:dyDescent="0.2">
      <c r="E1799" s="27"/>
      <c r="F1799" s="27"/>
      <c r="G1799" s="141"/>
      <c r="H1799" s="141"/>
      <c r="I1799" s="551"/>
      <c r="J1799" s="552"/>
      <c r="K1799" s="33"/>
      <c r="L1799" s="145"/>
    </row>
    <row r="1800" spans="5:12" s="15" customFormat="1" ht="12.75" customHeight="1" x14ac:dyDescent="0.2">
      <c r="E1800" s="27"/>
      <c r="F1800" s="27"/>
      <c r="G1800" s="141"/>
      <c r="H1800" s="141"/>
      <c r="I1800" s="551"/>
      <c r="J1800" s="552"/>
      <c r="K1800" s="33"/>
      <c r="L1800" s="145"/>
    </row>
    <row r="1801" spans="5:12" s="15" customFormat="1" ht="12.75" customHeight="1" x14ac:dyDescent="0.2">
      <c r="E1801" s="27"/>
      <c r="F1801" s="27"/>
      <c r="G1801" s="141"/>
      <c r="H1801" s="141"/>
      <c r="I1801" s="551"/>
      <c r="J1801" s="552"/>
      <c r="K1801" s="33"/>
      <c r="L1801" s="145"/>
    </row>
    <row r="1802" spans="5:12" s="15" customFormat="1" ht="12.75" customHeight="1" x14ac:dyDescent="0.2">
      <c r="E1802" s="27"/>
      <c r="F1802" s="27"/>
      <c r="G1802" s="141"/>
      <c r="H1802" s="141"/>
      <c r="I1802" s="551"/>
      <c r="J1802" s="552"/>
      <c r="K1802" s="33"/>
      <c r="L1802" s="145"/>
    </row>
    <row r="1803" spans="5:12" s="15" customFormat="1" ht="12.75" customHeight="1" x14ac:dyDescent="0.2">
      <c r="E1803" s="27"/>
      <c r="F1803" s="27"/>
      <c r="G1803" s="141"/>
      <c r="H1803" s="141"/>
      <c r="I1803" s="551"/>
      <c r="J1803" s="552"/>
      <c r="K1803" s="33"/>
      <c r="L1803" s="145"/>
    </row>
    <row r="1804" spans="5:12" s="15" customFormat="1" ht="12.75" customHeight="1" x14ac:dyDescent="0.2">
      <c r="E1804" s="27"/>
      <c r="F1804" s="27"/>
      <c r="G1804" s="141"/>
      <c r="H1804" s="141"/>
      <c r="I1804" s="551"/>
      <c r="J1804" s="552"/>
      <c r="K1804" s="33"/>
      <c r="L1804" s="145"/>
    </row>
    <row r="1805" spans="5:12" s="15" customFormat="1" ht="12.75" customHeight="1" x14ac:dyDescent="0.2">
      <c r="E1805" s="27"/>
      <c r="F1805" s="27"/>
      <c r="G1805" s="141"/>
      <c r="H1805" s="141"/>
      <c r="I1805" s="551"/>
      <c r="J1805" s="552"/>
      <c r="K1805" s="33"/>
      <c r="L1805" s="145"/>
    </row>
    <row r="1806" spans="5:12" s="15" customFormat="1" ht="12.75" customHeight="1" x14ac:dyDescent="0.2">
      <c r="E1806" s="27"/>
      <c r="F1806" s="27"/>
      <c r="G1806" s="141"/>
      <c r="H1806" s="141"/>
      <c r="I1806" s="551"/>
      <c r="J1806" s="552"/>
      <c r="K1806" s="33"/>
      <c r="L1806" s="145"/>
    </row>
    <row r="1807" spans="5:12" s="15" customFormat="1" ht="12.75" customHeight="1" x14ac:dyDescent="0.2">
      <c r="E1807" s="27"/>
      <c r="F1807" s="27"/>
      <c r="G1807" s="141"/>
      <c r="H1807" s="141"/>
      <c r="I1807" s="551"/>
      <c r="J1807" s="552"/>
      <c r="K1807" s="33"/>
      <c r="L1807" s="145"/>
    </row>
    <row r="1808" spans="5:12" s="15" customFormat="1" ht="12.75" customHeight="1" x14ac:dyDescent="0.2">
      <c r="E1808" s="27"/>
      <c r="F1808" s="27"/>
      <c r="G1808" s="141"/>
      <c r="H1808" s="141"/>
      <c r="I1808" s="551"/>
      <c r="J1808" s="552"/>
      <c r="K1808" s="33"/>
      <c r="L1808" s="145"/>
    </row>
    <row r="1809" spans="5:12" s="15" customFormat="1" ht="12.75" customHeight="1" x14ac:dyDescent="0.2">
      <c r="E1809" s="27"/>
      <c r="F1809" s="27"/>
      <c r="G1809" s="141"/>
      <c r="H1809" s="141"/>
      <c r="I1809" s="551"/>
      <c r="J1809" s="552"/>
      <c r="K1809" s="33"/>
      <c r="L1809" s="145"/>
    </row>
    <row r="1810" spans="5:12" s="15" customFormat="1" ht="12.75" customHeight="1" x14ac:dyDescent="0.2">
      <c r="E1810" s="27"/>
      <c r="F1810" s="27"/>
      <c r="G1810" s="141"/>
      <c r="H1810" s="141"/>
      <c r="I1810" s="551"/>
      <c r="J1810" s="552"/>
      <c r="K1810" s="33"/>
      <c r="L1810" s="145"/>
    </row>
    <row r="1811" spans="5:12" s="15" customFormat="1" ht="12.75" customHeight="1" x14ac:dyDescent="0.2">
      <c r="E1811" s="27"/>
      <c r="F1811" s="27"/>
      <c r="G1811" s="141"/>
      <c r="H1811" s="141"/>
      <c r="I1811" s="551"/>
      <c r="J1811" s="552"/>
      <c r="K1811" s="33"/>
      <c r="L1811" s="145"/>
    </row>
    <row r="1812" spans="5:12" s="15" customFormat="1" ht="12.75" customHeight="1" x14ac:dyDescent="0.2">
      <c r="E1812" s="27"/>
      <c r="F1812" s="27"/>
      <c r="G1812" s="141"/>
      <c r="H1812" s="141"/>
      <c r="I1812" s="551"/>
      <c r="J1812" s="552"/>
      <c r="K1812" s="33"/>
      <c r="L1812" s="145"/>
    </row>
    <row r="1813" spans="5:12" s="15" customFormat="1" ht="12.75" customHeight="1" x14ac:dyDescent="0.2">
      <c r="E1813" s="27"/>
      <c r="F1813" s="27"/>
      <c r="G1813" s="141"/>
      <c r="H1813" s="141"/>
      <c r="I1813" s="551"/>
      <c r="J1813" s="552"/>
      <c r="K1813" s="33"/>
      <c r="L1813" s="145"/>
    </row>
    <row r="1814" spans="5:12" s="15" customFormat="1" ht="12.75" customHeight="1" x14ac:dyDescent="0.2">
      <c r="E1814" s="27"/>
      <c r="F1814" s="27"/>
      <c r="G1814" s="141"/>
      <c r="H1814" s="141"/>
      <c r="I1814" s="551"/>
      <c r="J1814" s="552"/>
      <c r="K1814" s="33"/>
      <c r="L1814" s="145"/>
    </row>
    <row r="1815" spans="5:12" s="15" customFormat="1" ht="12.75" customHeight="1" x14ac:dyDescent="0.2">
      <c r="E1815" s="27"/>
      <c r="F1815" s="27"/>
      <c r="G1815" s="141"/>
      <c r="H1815" s="141"/>
      <c r="I1815" s="551"/>
      <c r="J1815" s="552"/>
      <c r="K1815" s="33"/>
      <c r="L1815" s="145"/>
    </row>
    <row r="1816" spans="5:12" s="15" customFormat="1" ht="12.75" customHeight="1" x14ac:dyDescent="0.2">
      <c r="E1816" s="27"/>
      <c r="F1816" s="27"/>
      <c r="G1816" s="141"/>
      <c r="H1816" s="141"/>
      <c r="I1816" s="551"/>
      <c r="J1816" s="552"/>
      <c r="K1816" s="33"/>
      <c r="L1816" s="145"/>
    </row>
    <row r="1817" spans="5:12" s="15" customFormat="1" ht="12.75" customHeight="1" x14ac:dyDescent="0.2">
      <c r="E1817" s="27"/>
      <c r="F1817" s="27"/>
      <c r="G1817" s="141"/>
      <c r="H1817" s="141"/>
      <c r="I1817" s="551"/>
      <c r="J1817" s="552"/>
      <c r="K1817" s="33"/>
      <c r="L1817" s="145"/>
    </row>
    <row r="1818" spans="5:12" s="15" customFormat="1" ht="12.75" customHeight="1" x14ac:dyDescent="0.2">
      <c r="E1818" s="27"/>
      <c r="F1818" s="27"/>
      <c r="G1818" s="141"/>
      <c r="H1818" s="141"/>
      <c r="I1818" s="551"/>
      <c r="J1818" s="552"/>
      <c r="K1818" s="33"/>
      <c r="L1818" s="145"/>
    </row>
    <row r="1819" spans="5:12" s="15" customFormat="1" ht="12.75" customHeight="1" x14ac:dyDescent="0.2">
      <c r="E1819" s="27"/>
      <c r="F1819" s="27"/>
      <c r="G1819" s="141"/>
      <c r="H1819" s="141"/>
      <c r="I1819" s="551"/>
      <c r="J1819" s="552"/>
      <c r="K1819" s="33"/>
      <c r="L1819" s="145"/>
    </row>
    <row r="1820" spans="5:12" s="15" customFormat="1" ht="12.75" customHeight="1" x14ac:dyDescent="0.2">
      <c r="E1820" s="27"/>
      <c r="F1820" s="27"/>
      <c r="G1820" s="141"/>
      <c r="H1820" s="141"/>
      <c r="I1820" s="551"/>
      <c r="J1820" s="552"/>
      <c r="K1820" s="33"/>
      <c r="L1820" s="145"/>
    </row>
    <row r="1821" spans="5:12" s="15" customFormat="1" ht="12.75" customHeight="1" x14ac:dyDescent="0.2">
      <c r="E1821" s="27"/>
      <c r="F1821" s="27"/>
      <c r="G1821" s="141"/>
      <c r="H1821" s="141"/>
      <c r="I1821" s="551"/>
      <c r="J1821" s="552"/>
      <c r="K1821" s="33"/>
      <c r="L1821" s="145"/>
    </row>
    <row r="1822" spans="5:12" s="15" customFormat="1" ht="12.75" customHeight="1" x14ac:dyDescent="0.2">
      <c r="E1822" s="27"/>
      <c r="F1822" s="27"/>
      <c r="G1822" s="141"/>
      <c r="H1822" s="141"/>
      <c r="I1822" s="551"/>
      <c r="J1822" s="552"/>
      <c r="K1822" s="33"/>
      <c r="L1822" s="145"/>
    </row>
    <row r="1823" spans="5:12" s="15" customFormat="1" ht="12.75" customHeight="1" x14ac:dyDescent="0.2">
      <c r="E1823" s="27"/>
      <c r="F1823" s="27"/>
      <c r="G1823" s="141"/>
      <c r="H1823" s="141"/>
      <c r="I1823" s="551"/>
      <c r="J1823" s="552"/>
      <c r="K1823" s="33"/>
      <c r="L1823" s="145"/>
    </row>
    <row r="1824" spans="5:12" s="15" customFormat="1" ht="12.75" customHeight="1" x14ac:dyDescent="0.2">
      <c r="E1824" s="27"/>
      <c r="F1824" s="27"/>
      <c r="G1824" s="141"/>
      <c r="H1824" s="141"/>
      <c r="I1824" s="551"/>
      <c r="J1824" s="552"/>
      <c r="K1824" s="33"/>
      <c r="L1824" s="145"/>
    </row>
    <row r="1825" spans="5:12" s="15" customFormat="1" ht="12.75" customHeight="1" x14ac:dyDescent="0.2">
      <c r="E1825" s="27"/>
      <c r="F1825" s="27"/>
      <c r="G1825" s="141"/>
      <c r="H1825" s="141"/>
      <c r="I1825" s="551"/>
      <c r="J1825" s="552"/>
      <c r="K1825" s="33"/>
      <c r="L1825" s="145"/>
    </row>
    <row r="1826" spans="5:12" s="15" customFormat="1" ht="12.75" customHeight="1" x14ac:dyDescent="0.2">
      <c r="E1826" s="27"/>
      <c r="F1826" s="27"/>
      <c r="G1826" s="141"/>
      <c r="H1826" s="141"/>
      <c r="I1826" s="551"/>
      <c r="J1826" s="552"/>
      <c r="K1826" s="33"/>
      <c r="L1826" s="145"/>
    </row>
    <row r="1827" spans="5:12" s="15" customFormat="1" ht="12.75" customHeight="1" x14ac:dyDescent="0.2">
      <c r="E1827" s="27"/>
      <c r="F1827" s="27"/>
      <c r="G1827" s="141"/>
      <c r="H1827" s="141"/>
      <c r="I1827" s="551"/>
      <c r="J1827" s="552"/>
      <c r="K1827" s="33"/>
      <c r="L1827" s="145"/>
    </row>
    <row r="1828" spans="5:12" s="15" customFormat="1" ht="12.75" customHeight="1" x14ac:dyDescent="0.2">
      <c r="E1828" s="27"/>
      <c r="F1828" s="27"/>
      <c r="G1828" s="141"/>
      <c r="H1828" s="141"/>
      <c r="I1828" s="551"/>
      <c r="J1828" s="552"/>
      <c r="K1828" s="33"/>
      <c r="L1828" s="145"/>
    </row>
    <row r="1829" spans="5:12" s="15" customFormat="1" ht="12.75" customHeight="1" x14ac:dyDescent="0.2">
      <c r="E1829" s="27"/>
      <c r="F1829" s="27"/>
      <c r="G1829" s="141"/>
      <c r="H1829" s="141"/>
      <c r="I1829" s="551"/>
      <c r="J1829" s="552"/>
      <c r="K1829" s="33"/>
      <c r="L1829" s="145"/>
    </row>
    <row r="1830" spans="5:12" s="15" customFormat="1" ht="12.75" customHeight="1" x14ac:dyDescent="0.2">
      <c r="E1830" s="27"/>
      <c r="F1830" s="27"/>
      <c r="G1830" s="141"/>
      <c r="H1830" s="141"/>
      <c r="I1830" s="551"/>
      <c r="J1830" s="552"/>
      <c r="K1830" s="33"/>
      <c r="L1830" s="145"/>
    </row>
    <row r="1831" spans="5:12" s="15" customFormat="1" ht="12.75" customHeight="1" x14ac:dyDescent="0.2">
      <c r="E1831" s="27"/>
      <c r="F1831" s="27"/>
      <c r="G1831" s="141"/>
      <c r="H1831" s="141"/>
      <c r="I1831" s="551"/>
      <c r="J1831" s="552"/>
      <c r="K1831" s="33"/>
      <c r="L1831" s="145"/>
    </row>
    <row r="1832" spans="5:12" s="15" customFormat="1" ht="12.75" customHeight="1" x14ac:dyDescent="0.2">
      <c r="E1832" s="27"/>
      <c r="F1832" s="27"/>
      <c r="G1832" s="141"/>
      <c r="H1832" s="141"/>
      <c r="I1832" s="551"/>
      <c r="J1832" s="552"/>
      <c r="K1832" s="33"/>
      <c r="L1832" s="145"/>
    </row>
    <row r="1833" spans="5:12" s="15" customFormat="1" ht="12.75" customHeight="1" x14ac:dyDescent="0.2">
      <c r="E1833" s="27"/>
      <c r="F1833" s="27"/>
      <c r="G1833" s="141"/>
      <c r="H1833" s="141"/>
      <c r="I1833" s="551"/>
      <c r="J1833" s="552"/>
      <c r="K1833" s="33"/>
      <c r="L1833" s="145"/>
    </row>
    <row r="1834" spans="5:12" s="15" customFormat="1" ht="12.75" customHeight="1" x14ac:dyDescent="0.2">
      <c r="E1834" s="27"/>
      <c r="F1834" s="27"/>
      <c r="G1834" s="141"/>
      <c r="H1834" s="141"/>
      <c r="I1834" s="551"/>
      <c r="J1834" s="552"/>
      <c r="K1834" s="33"/>
      <c r="L1834" s="145"/>
    </row>
    <row r="1835" spans="5:12" s="15" customFormat="1" ht="12.75" customHeight="1" x14ac:dyDescent="0.2">
      <c r="E1835" s="27"/>
      <c r="F1835" s="27"/>
      <c r="G1835" s="141"/>
      <c r="H1835" s="141"/>
      <c r="I1835" s="551"/>
      <c r="J1835" s="552"/>
      <c r="K1835" s="33"/>
      <c r="L1835" s="145"/>
    </row>
    <row r="1836" spans="5:12" s="15" customFormat="1" ht="12.75" customHeight="1" x14ac:dyDescent="0.2">
      <c r="E1836" s="27"/>
      <c r="F1836" s="27"/>
      <c r="G1836" s="141"/>
      <c r="H1836" s="141"/>
      <c r="I1836" s="551"/>
      <c r="J1836" s="552"/>
      <c r="K1836" s="33"/>
      <c r="L1836" s="145"/>
    </row>
    <row r="1837" spans="5:12" s="15" customFormat="1" ht="12.75" customHeight="1" x14ac:dyDescent="0.2">
      <c r="E1837" s="27"/>
      <c r="F1837" s="27"/>
      <c r="G1837" s="141"/>
      <c r="H1837" s="141"/>
      <c r="I1837" s="551"/>
      <c r="J1837" s="552"/>
      <c r="K1837" s="33"/>
      <c r="L1837" s="145"/>
    </row>
    <row r="1838" spans="5:12" s="15" customFormat="1" ht="12.75" customHeight="1" x14ac:dyDescent="0.2">
      <c r="E1838" s="27"/>
      <c r="F1838" s="27"/>
      <c r="G1838" s="141"/>
      <c r="H1838" s="141"/>
      <c r="I1838" s="551"/>
      <c r="J1838" s="552"/>
      <c r="K1838" s="33"/>
      <c r="L1838" s="145"/>
    </row>
    <row r="1839" spans="5:12" s="15" customFormat="1" ht="12.75" customHeight="1" x14ac:dyDescent="0.2">
      <c r="E1839" s="27"/>
      <c r="F1839" s="27"/>
      <c r="G1839" s="141"/>
      <c r="H1839" s="141"/>
      <c r="I1839" s="551"/>
      <c r="J1839" s="552"/>
      <c r="K1839" s="33"/>
      <c r="L1839" s="145"/>
    </row>
    <row r="1840" spans="5:12" s="15" customFormat="1" ht="12.75" customHeight="1" x14ac:dyDescent="0.2">
      <c r="E1840" s="27"/>
      <c r="F1840" s="27"/>
      <c r="G1840" s="141"/>
      <c r="H1840" s="141"/>
      <c r="I1840" s="551"/>
      <c r="J1840" s="552"/>
      <c r="K1840" s="33"/>
      <c r="L1840" s="145"/>
    </row>
    <row r="1841" spans="5:12" s="15" customFormat="1" ht="12.75" customHeight="1" x14ac:dyDescent="0.2">
      <c r="E1841" s="27"/>
      <c r="F1841" s="27"/>
      <c r="G1841" s="141"/>
      <c r="H1841" s="141"/>
      <c r="I1841" s="551"/>
      <c r="J1841" s="552"/>
      <c r="K1841" s="33"/>
      <c r="L1841" s="145"/>
    </row>
    <row r="1842" spans="5:12" s="15" customFormat="1" ht="12.75" customHeight="1" x14ac:dyDescent="0.2">
      <c r="E1842" s="27"/>
      <c r="F1842" s="27"/>
      <c r="G1842" s="141"/>
      <c r="H1842" s="141"/>
      <c r="I1842" s="551"/>
      <c r="J1842" s="552"/>
      <c r="K1842" s="33"/>
      <c r="L1842" s="145"/>
    </row>
    <row r="1843" spans="5:12" s="15" customFormat="1" ht="12.75" customHeight="1" x14ac:dyDescent="0.2">
      <c r="E1843" s="27"/>
      <c r="F1843" s="27"/>
      <c r="G1843" s="141"/>
      <c r="H1843" s="141"/>
      <c r="I1843" s="551"/>
      <c r="J1843" s="552"/>
      <c r="K1843" s="33"/>
      <c r="L1843" s="145"/>
    </row>
    <row r="1844" spans="5:12" s="15" customFormat="1" ht="12.75" customHeight="1" x14ac:dyDescent="0.2">
      <c r="E1844" s="27"/>
      <c r="F1844" s="27"/>
      <c r="G1844" s="141"/>
      <c r="H1844" s="141"/>
      <c r="I1844" s="551"/>
      <c r="J1844" s="552"/>
      <c r="K1844" s="33"/>
      <c r="L1844" s="145"/>
    </row>
    <row r="1845" spans="5:12" s="15" customFormat="1" ht="12.75" customHeight="1" x14ac:dyDescent="0.2">
      <c r="E1845" s="27"/>
      <c r="F1845" s="27"/>
      <c r="G1845" s="141"/>
      <c r="H1845" s="141"/>
      <c r="I1845" s="551"/>
      <c r="J1845" s="552"/>
      <c r="K1845" s="33"/>
      <c r="L1845" s="145"/>
    </row>
    <row r="1846" spans="5:12" s="15" customFormat="1" ht="12.75" customHeight="1" x14ac:dyDescent="0.2">
      <c r="E1846" s="27"/>
      <c r="F1846" s="27"/>
      <c r="G1846" s="141"/>
      <c r="H1846" s="141"/>
      <c r="I1846" s="551"/>
      <c r="J1846" s="552"/>
      <c r="K1846" s="33"/>
      <c r="L1846" s="145"/>
    </row>
    <row r="1847" spans="5:12" s="15" customFormat="1" ht="12.75" customHeight="1" x14ac:dyDescent="0.2">
      <c r="E1847" s="27"/>
      <c r="F1847" s="27"/>
      <c r="G1847" s="141"/>
      <c r="H1847" s="141"/>
      <c r="I1847" s="551"/>
      <c r="J1847" s="552"/>
      <c r="K1847" s="33"/>
      <c r="L1847" s="145"/>
    </row>
    <row r="1848" spans="5:12" s="15" customFormat="1" ht="12.75" customHeight="1" x14ac:dyDescent="0.2">
      <c r="E1848" s="27"/>
      <c r="F1848" s="27"/>
      <c r="G1848" s="141"/>
      <c r="H1848" s="141"/>
      <c r="I1848" s="551"/>
      <c r="J1848" s="552"/>
      <c r="K1848" s="33"/>
      <c r="L1848" s="145"/>
    </row>
    <row r="1849" spans="5:12" s="15" customFormat="1" ht="12.75" customHeight="1" x14ac:dyDescent="0.2">
      <c r="E1849" s="27"/>
      <c r="F1849" s="27"/>
      <c r="G1849" s="141"/>
      <c r="H1849" s="141"/>
      <c r="I1849" s="551"/>
      <c r="J1849" s="552"/>
      <c r="K1849" s="33"/>
      <c r="L1849" s="145"/>
    </row>
    <row r="1850" spans="5:12" s="15" customFormat="1" ht="12.75" customHeight="1" x14ac:dyDescent="0.2">
      <c r="E1850" s="27"/>
      <c r="F1850" s="27"/>
      <c r="G1850" s="141"/>
      <c r="H1850" s="141"/>
      <c r="I1850" s="551"/>
      <c r="J1850" s="552"/>
      <c r="K1850" s="33"/>
      <c r="L1850" s="145"/>
    </row>
    <row r="1851" spans="5:12" s="15" customFormat="1" ht="12.75" customHeight="1" x14ac:dyDescent="0.2">
      <c r="E1851" s="27"/>
      <c r="F1851" s="27"/>
      <c r="G1851" s="141"/>
      <c r="H1851" s="141"/>
      <c r="I1851" s="551"/>
      <c r="J1851" s="552"/>
      <c r="K1851" s="33"/>
      <c r="L1851" s="145"/>
    </row>
    <row r="1852" spans="5:12" s="15" customFormat="1" ht="12.75" customHeight="1" x14ac:dyDescent="0.2">
      <c r="E1852" s="27"/>
      <c r="F1852" s="27"/>
      <c r="G1852" s="141"/>
      <c r="H1852" s="141"/>
      <c r="I1852" s="551"/>
      <c r="J1852" s="552"/>
      <c r="K1852" s="33"/>
      <c r="L1852" s="145"/>
    </row>
    <row r="1853" spans="5:12" s="15" customFormat="1" ht="12.75" customHeight="1" x14ac:dyDescent="0.2">
      <c r="E1853" s="27"/>
      <c r="F1853" s="27"/>
      <c r="G1853" s="141"/>
      <c r="H1853" s="141"/>
      <c r="I1853" s="551"/>
      <c r="J1853" s="552"/>
      <c r="K1853" s="33"/>
      <c r="L1853" s="145"/>
    </row>
    <row r="1854" spans="5:12" s="15" customFormat="1" ht="12.75" customHeight="1" x14ac:dyDescent="0.2">
      <c r="E1854" s="27"/>
      <c r="F1854" s="27"/>
      <c r="G1854" s="141"/>
      <c r="H1854" s="141"/>
      <c r="I1854" s="551"/>
      <c r="J1854" s="552"/>
      <c r="K1854" s="33"/>
      <c r="L1854" s="145"/>
    </row>
    <row r="1855" spans="5:12" s="15" customFormat="1" ht="12.75" customHeight="1" x14ac:dyDescent="0.2">
      <c r="E1855" s="27"/>
      <c r="F1855" s="27"/>
      <c r="G1855" s="141"/>
      <c r="H1855" s="141"/>
      <c r="I1855" s="551"/>
      <c r="J1855" s="552"/>
      <c r="K1855" s="33"/>
      <c r="L1855" s="145"/>
    </row>
    <row r="1856" spans="5:12" s="15" customFormat="1" ht="12.75" customHeight="1" x14ac:dyDescent="0.2">
      <c r="E1856" s="27"/>
      <c r="F1856" s="27"/>
      <c r="G1856" s="141"/>
      <c r="H1856" s="141"/>
      <c r="I1856" s="551"/>
      <c r="J1856" s="552"/>
      <c r="K1856" s="33"/>
      <c r="L1856" s="145"/>
    </row>
    <row r="1857" spans="5:12" s="15" customFormat="1" ht="12.75" customHeight="1" x14ac:dyDescent="0.2">
      <c r="E1857" s="27"/>
      <c r="F1857" s="27"/>
      <c r="G1857" s="141"/>
      <c r="H1857" s="141"/>
      <c r="I1857" s="551"/>
      <c r="J1857" s="552"/>
      <c r="K1857" s="33"/>
      <c r="L1857" s="145"/>
    </row>
    <row r="1858" spans="5:12" s="15" customFormat="1" ht="12.75" customHeight="1" x14ac:dyDescent="0.2">
      <c r="E1858" s="27"/>
      <c r="F1858" s="27"/>
      <c r="G1858" s="141"/>
      <c r="H1858" s="141"/>
      <c r="I1858" s="551"/>
      <c r="J1858" s="552"/>
      <c r="K1858" s="33"/>
      <c r="L1858" s="145"/>
    </row>
    <row r="1859" spans="5:12" s="15" customFormat="1" ht="12.75" customHeight="1" x14ac:dyDescent="0.2">
      <c r="E1859" s="27"/>
      <c r="F1859" s="27"/>
      <c r="G1859" s="141"/>
      <c r="H1859" s="141"/>
      <c r="I1859" s="551"/>
      <c r="J1859" s="552"/>
      <c r="K1859" s="33"/>
      <c r="L1859" s="145"/>
    </row>
    <row r="1860" spans="5:12" s="15" customFormat="1" ht="12.75" customHeight="1" x14ac:dyDescent="0.2">
      <c r="E1860" s="27"/>
      <c r="F1860" s="27"/>
      <c r="G1860" s="141"/>
      <c r="H1860" s="141"/>
      <c r="I1860" s="551"/>
      <c r="J1860" s="552"/>
      <c r="K1860" s="33"/>
      <c r="L1860" s="145"/>
    </row>
    <row r="1861" spans="5:12" s="15" customFormat="1" ht="12.75" customHeight="1" x14ac:dyDescent="0.2">
      <c r="E1861" s="27"/>
      <c r="F1861" s="27"/>
      <c r="G1861" s="141"/>
      <c r="H1861" s="141"/>
      <c r="I1861" s="551"/>
      <c r="J1861" s="552"/>
      <c r="K1861" s="33"/>
      <c r="L1861" s="145"/>
    </row>
    <row r="1862" spans="5:12" s="15" customFormat="1" ht="12.75" customHeight="1" x14ac:dyDescent="0.2">
      <c r="E1862" s="27"/>
      <c r="F1862" s="27"/>
      <c r="G1862" s="141"/>
      <c r="H1862" s="141"/>
      <c r="I1862" s="551"/>
      <c r="J1862" s="552"/>
      <c r="K1862" s="33"/>
      <c r="L1862" s="145"/>
    </row>
    <row r="1863" spans="5:12" s="15" customFormat="1" ht="12.75" customHeight="1" x14ac:dyDescent="0.2">
      <c r="E1863" s="27"/>
      <c r="F1863" s="27"/>
      <c r="G1863" s="141"/>
      <c r="H1863" s="141"/>
      <c r="I1863" s="551"/>
      <c r="J1863" s="552"/>
      <c r="K1863" s="33"/>
      <c r="L1863" s="145"/>
    </row>
    <row r="1864" spans="5:12" s="15" customFormat="1" ht="12.75" customHeight="1" x14ac:dyDescent="0.2">
      <c r="E1864" s="27"/>
      <c r="F1864" s="27"/>
      <c r="G1864" s="141"/>
      <c r="H1864" s="141"/>
      <c r="I1864" s="551"/>
      <c r="J1864" s="552"/>
      <c r="K1864" s="33"/>
      <c r="L1864" s="145"/>
    </row>
    <row r="1865" spans="5:12" s="15" customFormat="1" ht="12.75" customHeight="1" x14ac:dyDescent="0.2">
      <c r="E1865" s="27"/>
      <c r="F1865" s="27"/>
      <c r="G1865" s="141"/>
      <c r="H1865" s="141"/>
      <c r="I1865" s="551"/>
      <c r="J1865" s="552"/>
      <c r="K1865" s="33"/>
      <c r="L1865" s="145"/>
    </row>
    <row r="1866" spans="5:12" s="15" customFormat="1" ht="12.75" customHeight="1" x14ac:dyDescent="0.2">
      <c r="E1866" s="27"/>
      <c r="F1866" s="27"/>
      <c r="G1866" s="141"/>
      <c r="H1866" s="141"/>
      <c r="I1866" s="551"/>
      <c r="J1866" s="552"/>
      <c r="K1866" s="33"/>
      <c r="L1866" s="145"/>
    </row>
    <row r="1867" spans="5:12" s="15" customFormat="1" ht="12.75" customHeight="1" x14ac:dyDescent="0.2">
      <c r="E1867" s="27"/>
      <c r="F1867" s="27"/>
      <c r="G1867" s="141"/>
      <c r="H1867" s="141"/>
      <c r="I1867" s="551"/>
      <c r="J1867" s="552"/>
      <c r="K1867" s="33"/>
      <c r="L1867" s="145"/>
    </row>
    <row r="1868" spans="5:12" s="15" customFormat="1" ht="12.75" customHeight="1" x14ac:dyDescent="0.2">
      <c r="E1868" s="27"/>
      <c r="F1868" s="27"/>
      <c r="G1868" s="141"/>
      <c r="H1868" s="141"/>
      <c r="I1868" s="551"/>
      <c r="J1868" s="552"/>
      <c r="K1868" s="33"/>
      <c r="L1868" s="145"/>
    </row>
    <row r="1869" spans="5:12" s="15" customFormat="1" ht="12.75" customHeight="1" x14ac:dyDescent="0.2">
      <c r="E1869" s="27"/>
      <c r="F1869" s="27"/>
      <c r="G1869" s="141"/>
      <c r="H1869" s="141"/>
      <c r="I1869" s="551"/>
      <c r="J1869" s="552"/>
      <c r="K1869" s="33"/>
      <c r="L1869" s="145"/>
    </row>
    <row r="1870" spans="5:12" s="15" customFormat="1" ht="12.75" customHeight="1" x14ac:dyDescent="0.2">
      <c r="E1870" s="27"/>
      <c r="F1870" s="27"/>
      <c r="G1870" s="141"/>
      <c r="H1870" s="141"/>
      <c r="I1870" s="551"/>
      <c r="J1870" s="552"/>
      <c r="K1870" s="33"/>
      <c r="L1870" s="145"/>
    </row>
    <row r="1871" spans="5:12" s="15" customFormat="1" ht="12.75" customHeight="1" x14ac:dyDescent="0.2">
      <c r="E1871" s="27"/>
      <c r="F1871" s="27"/>
      <c r="G1871" s="141"/>
      <c r="H1871" s="141"/>
      <c r="I1871" s="551"/>
      <c r="J1871" s="552"/>
      <c r="K1871" s="33"/>
      <c r="L1871" s="145"/>
    </row>
    <row r="1872" spans="5:12" s="15" customFormat="1" ht="12.75" customHeight="1" x14ac:dyDescent="0.2">
      <c r="E1872" s="27"/>
      <c r="F1872" s="27"/>
      <c r="G1872" s="141"/>
      <c r="H1872" s="141"/>
      <c r="I1872" s="551"/>
      <c r="J1872" s="552"/>
      <c r="K1872" s="33"/>
      <c r="L1872" s="145"/>
    </row>
    <row r="1873" spans="5:12" s="15" customFormat="1" ht="12.75" customHeight="1" x14ac:dyDescent="0.2">
      <c r="E1873" s="27"/>
      <c r="F1873" s="27"/>
      <c r="G1873" s="141"/>
      <c r="H1873" s="141"/>
      <c r="I1873" s="551"/>
      <c r="J1873" s="552"/>
      <c r="K1873" s="33"/>
      <c r="L1873" s="145"/>
    </row>
    <row r="1874" spans="5:12" s="15" customFormat="1" ht="12.75" customHeight="1" x14ac:dyDescent="0.2">
      <c r="E1874" s="27"/>
      <c r="F1874" s="27"/>
      <c r="G1874" s="141"/>
      <c r="H1874" s="141"/>
      <c r="I1874" s="551"/>
      <c r="J1874" s="552"/>
      <c r="K1874" s="33"/>
      <c r="L1874" s="145"/>
    </row>
    <row r="1875" spans="5:12" s="15" customFormat="1" ht="12.75" customHeight="1" x14ac:dyDescent="0.2">
      <c r="E1875" s="27"/>
      <c r="F1875" s="27"/>
      <c r="G1875" s="141"/>
      <c r="H1875" s="141"/>
      <c r="I1875" s="551"/>
      <c r="J1875" s="552"/>
      <c r="K1875" s="33"/>
      <c r="L1875" s="145"/>
    </row>
    <row r="1876" spans="5:12" s="15" customFormat="1" ht="12.75" customHeight="1" x14ac:dyDescent="0.2">
      <c r="E1876" s="27"/>
      <c r="F1876" s="27"/>
      <c r="G1876" s="141"/>
      <c r="H1876" s="141"/>
      <c r="I1876" s="551"/>
      <c r="J1876" s="552"/>
      <c r="K1876" s="33"/>
      <c r="L1876" s="145"/>
    </row>
    <row r="1877" spans="5:12" s="15" customFormat="1" ht="12.75" customHeight="1" x14ac:dyDescent="0.2">
      <c r="E1877" s="27"/>
      <c r="F1877" s="27"/>
      <c r="G1877" s="141"/>
      <c r="H1877" s="141"/>
      <c r="I1877" s="551"/>
      <c r="J1877" s="552"/>
      <c r="K1877" s="33"/>
      <c r="L1877" s="145"/>
    </row>
    <row r="1878" spans="5:12" s="15" customFormat="1" ht="12.75" customHeight="1" x14ac:dyDescent="0.2">
      <c r="E1878" s="27"/>
      <c r="F1878" s="27"/>
      <c r="G1878" s="141"/>
      <c r="H1878" s="141"/>
      <c r="I1878" s="551"/>
      <c r="J1878" s="552"/>
      <c r="K1878" s="33"/>
      <c r="L1878" s="145"/>
    </row>
    <row r="1879" spans="5:12" s="15" customFormat="1" ht="12.75" customHeight="1" x14ac:dyDescent="0.2">
      <c r="E1879" s="27"/>
      <c r="F1879" s="27"/>
      <c r="G1879" s="141"/>
      <c r="H1879" s="141"/>
      <c r="I1879" s="551"/>
      <c r="J1879" s="552"/>
      <c r="K1879" s="33"/>
      <c r="L1879" s="145"/>
    </row>
    <row r="1880" spans="5:12" s="15" customFormat="1" ht="12.75" customHeight="1" x14ac:dyDescent="0.2">
      <c r="E1880" s="27"/>
      <c r="F1880" s="27"/>
      <c r="G1880" s="141"/>
      <c r="H1880" s="141"/>
      <c r="I1880" s="551"/>
      <c r="J1880" s="552"/>
      <c r="K1880" s="33"/>
      <c r="L1880" s="145"/>
    </row>
    <row r="1881" spans="5:12" s="15" customFormat="1" ht="12.75" customHeight="1" x14ac:dyDescent="0.2">
      <c r="E1881" s="27"/>
      <c r="F1881" s="27"/>
      <c r="G1881" s="141"/>
      <c r="H1881" s="141"/>
      <c r="I1881" s="551"/>
      <c r="J1881" s="552"/>
      <c r="K1881" s="33"/>
      <c r="L1881" s="145"/>
    </row>
    <row r="1882" spans="5:12" s="15" customFormat="1" ht="12.75" customHeight="1" x14ac:dyDescent="0.2">
      <c r="E1882" s="27"/>
      <c r="F1882" s="27"/>
      <c r="G1882" s="141"/>
      <c r="H1882" s="141"/>
      <c r="I1882" s="551"/>
      <c r="J1882" s="552"/>
      <c r="K1882" s="33"/>
      <c r="L1882" s="145"/>
    </row>
    <row r="1883" spans="5:12" s="15" customFormat="1" ht="12.75" customHeight="1" x14ac:dyDescent="0.2">
      <c r="E1883" s="27"/>
      <c r="F1883" s="27"/>
      <c r="G1883" s="141"/>
      <c r="H1883" s="141"/>
      <c r="I1883" s="551"/>
      <c r="J1883" s="552"/>
      <c r="K1883" s="33"/>
      <c r="L1883" s="145"/>
    </row>
    <row r="1884" spans="5:12" s="15" customFormat="1" ht="12.75" customHeight="1" x14ac:dyDescent="0.2">
      <c r="E1884" s="27"/>
      <c r="F1884" s="27"/>
      <c r="G1884" s="141"/>
      <c r="H1884" s="141"/>
      <c r="I1884" s="551"/>
      <c r="J1884" s="552"/>
      <c r="K1884" s="33"/>
      <c r="L1884" s="145"/>
    </row>
    <row r="1885" spans="5:12" s="15" customFormat="1" ht="12.75" customHeight="1" x14ac:dyDescent="0.2">
      <c r="E1885" s="27"/>
      <c r="F1885" s="27"/>
      <c r="G1885" s="141"/>
      <c r="H1885" s="141"/>
      <c r="I1885" s="551"/>
      <c r="J1885" s="552"/>
      <c r="K1885" s="33"/>
      <c r="L1885" s="145"/>
    </row>
    <row r="1886" spans="5:12" s="15" customFormat="1" ht="12.75" customHeight="1" x14ac:dyDescent="0.2">
      <c r="E1886" s="27"/>
      <c r="F1886" s="27"/>
      <c r="G1886" s="141"/>
      <c r="H1886" s="141"/>
      <c r="I1886" s="551"/>
      <c r="J1886" s="552"/>
      <c r="K1886" s="33"/>
      <c r="L1886" s="145"/>
    </row>
    <row r="1887" spans="5:12" s="15" customFormat="1" ht="12.75" customHeight="1" x14ac:dyDescent="0.2">
      <c r="E1887" s="27"/>
      <c r="F1887" s="27"/>
      <c r="G1887" s="141"/>
      <c r="H1887" s="141"/>
      <c r="I1887" s="551"/>
      <c r="J1887" s="552"/>
      <c r="K1887" s="33"/>
      <c r="L1887" s="145"/>
    </row>
    <row r="1888" spans="5:12" s="15" customFormat="1" ht="12.75" customHeight="1" x14ac:dyDescent="0.2">
      <c r="E1888" s="27"/>
      <c r="F1888" s="27"/>
      <c r="G1888" s="141"/>
      <c r="H1888" s="141"/>
      <c r="I1888" s="551"/>
      <c r="J1888" s="552"/>
      <c r="K1888" s="33"/>
      <c r="L1888" s="145"/>
    </row>
    <row r="1889" spans="5:12" s="15" customFormat="1" ht="12.75" customHeight="1" x14ac:dyDescent="0.2">
      <c r="E1889" s="27"/>
      <c r="F1889" s="27"/>
      <c r="G1889" s="141"/>
      <c r="H1889" s="141"/>
      <c r="I1889" s="551"/>
      <c r="J1889" s="552"/>
      <c r="K1889" s="33"/>
      <c r="L1889" s="145"/>
    </row>
    <row r="1890" spans="5:12" s="15" customFormat="1" ht="12.75" customHeight="1" x14ac:dyDescent="0.2">
      <c r="E1890" s="27"/>
      <c r="F1890" s="27"/>
      <c r="G1890" s="141"/>
      <c r="H1890" s="141"/>
      <c r="I1890" s="551"/>
      <c r="J1890" s="552"/>
      <c r="K1890" s="33"/>
      <c r="L1890" s="145"/>
    </row>
    <row r="1891" spans="5:12" s="15" customFormat="1" ht="12.75" customHeight="1" x14ac:dyDescent="0.2">
      <c r="E1891" s="27"/>
      <c r="F1891" s="27"/>
      <c r="G1891" s="141"/>
      <c r="H1891" s="141"/>
      <c r="I1891" s="551"/>
      <c r="J1891" s="552"/>
      <c r="K1891" s="33"/>
      <c r="L1891" s="145"/>
    </row>
    <row r="1892" spans="5:12" s="15" customFormat="1" ht="12.75" customHeight="1" x14ac:dyDescent="0.2">
      <c r="E1892" s="27"/>
      <c r="F1892" s="27"/>
      <c r="G1892" s="141"/>
      <c r="H1892" s="141"/>
      <c r="I1892" s="551"/>
      <c r="J1892" s="552"/>
      <c r="K1892" s="33"/>
      <c r="L1892" s="145"/>
    </row>
    <row r="1893" spans="5:12" s="15" customFormat="1" ht="12.75" customHeight="1" x14ac:dyDescent="0.2">
      <c r="E1893" s="27"/>
      <c r="F1893" s="27"/>
      <c r="G1893" s="141"/>
      <c r="H1893" s="141"/>
      <c r="I1893" s="551"/>
      <c r="J1893" s="552"/>
      <c r="K1893" s="33"/>
      <c r="L1893" s="145"/>
    </row>
    <row r="1894" spans="5:12" s="15" customFormat="1" ht="12.75" customHeight="1" x14ac:dyDescent="0.2">
      <c r="E1894" s="27"/>
      <c r="F1894" s="27"/>
      <c r="G1894" s="141"/>
      <c r="H1894" s="141"/>
      <c r="I1894" s="551"/>
      <c r="J1894" s="552"/>
      <c r="K1894" s="33"/>
      <c r="L1894" s="145"/>
    </row>
    <row r="1895" spans="5:12" s="15" customFormat="1" ht="12.75" customHeight="1" x14ac:dyDescent="0.2">
      <c r="E1895" s="27"/>
      <c r="F1895" s="27"/>
      <c r="G1895" s="141"/>
      <c r="H1895" s="141"/>
      <c r="I1895" s="551"/>
      <c r="J1895" s="552"/>
      <c r="K1895" s="33"/>
      <c r="L1895" s="145"/>
    </row>
    <row r="1896" spans="5:12" s="15" customFormat="1" ht="12.75" customHeight="1" x14ac:dyDescent="0.2">
      <c r="E1896" s="27"/>
      <c r="F1896" s="27"/>
      <c r="G1896" s="141"/>
      <c r="H1896" s="141"/>
      <c r="I1896" s="551"/>
      <c r="J1896" s="552"/>
      <c r="K1896" s="33"/>
      <c r="L1896" s="145"/>
    </row>
    <row r="1897" spans="5:12" s="15" customFormat="1" ht="12.75" customHeight="1" x14ac:dyDescent="0.2">
      <c r="E1897" s="27"/>
      <c r="F1897" s="27"/>
      <c r="G1897" s="141"/>
      <c r="H1897" s="141"/>
      <c r="I1897" s="551"/>
      <c r="J1897" s="552"/>
      <c r="K1897" s="33"/>
      <c r="L1897" s="145"/>
    </row>
    <row r="1898" spans="5:12" s="15" customFormat="1" ht="12.75" customHeight="1" x14ac:dyDescent="0.2">
      <c r="E1898" s="27"/>
      <c r="F1898" s="27"/>
      <c r="G1898" s="141"/>
      <c r="H1898" s="141"/>
      <c r="I1898" s="551"/>
      <c r="J1898" s="552"/>
      <c r="K1898" s="33"/>
      <c r="L1898" s="145"/>
    </row>
    <row r="1899" spans="5:12" s="15" customFormat="1" ht="12.75" customHeight="1" x14ac:dyDescent="0.2">
      <c r="E1899" s="27"/>
      <c r="F1899" s="27"/>
      <c r="G1899" s="141"/>
      <c r="H1899" s="141"/>
      <c r="I1899" s="551"/>
      <c r="J1899" s="552"/>
      <c r="K1899" s="33"/>
      <c r="L1899" s="145"/>
    </row>
    <row r="1900" spans="5:12" s="15" customFormat="1" ht="12.75" customHeight="1" x14ac:dyDescent="0.2">
      <c r="E1900" s="27"/>
      <c r="F1900" s="27"/>
      <c r="G1900" s="141"/>
      <c r="H1900" s="141"/>
      <c r="I1900" s="551"/>
      <c r="J1900" s="552"/>
      <c r="K1900" s="33"/>
      <c r="L1900" s="145"/>
    </row>
    <row r="1901" spans="5:12" s="15" customFormat="1" ht="12.75" customHeight="1" x14ac:dyDescent="0.2">
      <c r="E1901" s="27"/>
      <c r="F1901" s="27"/>
      <c r="G1901" s="141"/>
      <c r="H1901" s="141"/>
      <c r="I1901" s="551"/>
      <c r="J1901" s="552"/>
      <c r="K1901" s="33"/>
      <c r="L1901" s="145"/>
    </row>
    <row r="1902" spans="5:12" s="15" customFormat="1" ht="12.75" customHeight="1" x14ac:dyDescent="0.2">
      <c r="E1902" s="27"/>
      <c r="F1902" s="27"/>
      <c r="G1902" s="141"/>
      <c r="H1902" s="141"/>
      <c r="I1902" s="551"/>
      <c r="J1902" s="552"/>
      <c r="K1902" s="33"/>
      <c r="L1902" s="145"/>
    </row>
    <row r="1903" spans="5:12" s="15" customFormat="1" ht="12.75" customHeight="1" x14ac:dyDescent="0.2">
      <c r="E1903" s="27"/>
      <c r="F1903" s="27"/>
      <c r="G1903" s="141"/>
      <c r="H1903" s="141"/>
      <c r="I1903" s="551"/>
      <c r="J1903" s="552"/>
      <c r="K1903" s="33"/>
      <c r="L1903" s="145"/>
    </row>
    <row r="1904" spans="5:12" s="15" customFormat="1" ht="12.75" customHeight="1" x14ac:dyDescent="0.2">
      <c r="E1904" s="27"/>
      <c r="F1904" s="27"/>
      <c r="G1904" s="141"/>
      <c r="H1904" s="141"/>
      <c r="I1904" s="551"/>
      <c r="J1904" s="552"/>
      <c r="K1904" s="33"/>
      <c r="L1904" s="145"/>
    </row>
    <row r="1905" spans="5:12" s="15" customFormat="1" ht="12.75" customHeight="1" x14ac:dyDescent="0.2">
      <c r="E1905" s="27"/>
      <c r="F1905" s="27"/>
      <c r="G1905" s="141"/>
      <c r="H1905" s="141"/>
      <c r="I1905" s="551"/>
      <c r="J1905" s="552"/>
      <c r="K1905" s="33"/>
      <c r="L1905" s="145"/>
    </row>
    <row r="1906" spans="5:12" s="15" customFormat="1" ht="12.75" customHeight="1" x14ac:dyDescent="0.2">
      <c r="E1906" s="27"/>
      <c r="F1906" s="27"/>
      <c r="G1906" s="141"/>
      <c r="H1906" s="141"/>
      <c r="I1906" s="551"/>
      <c r="J1906" s="552"/>
      <c r="K1906" s="33"/>
      <c r="L1906" s="145"/>
    </row>
    <row r="1907" spans="5:12" s="15" customFormat="1" ht="12.75" customHeight="1" x14ac:dyDescent="0.2">
      <c r="E1907" s="27"/>
      <c r="F1907" s="27"/>
      <c r="G1907" s="141"/>
      <c r="H1907" s="141"/>
      <c r="I1907" s="551"/>
      <c r="J1907" s="552"/>
      <c r="K1907" s="33"/>
      <c r="L1907" s="145"/>
    </row>
    <row r="1908" spans="5:12" s="15" customFormat="1" ht="12.75" customHeight="1" x14ac:dyDescent="0.2">
      <c r="E1908" s="27"/>
      <c r="F1908" s="27"/>
      <c r="G1908" s="141"/>
      <c r="H1908" s="141"/>
      <c r="I1908" s="551"/>
      <c r="J1908" s="552"/>
      <c r="K1908" s="33"/>
      <c r="L1908" s="145"/>
    </row>
    <row r="1909" spans="5:12" s="15" customFormat="1" ht="12.75" customHeight="1" x14ac:dyDescent="0.2">
      <c r="E1909" s="27"/>
      <c r="F1909" s="27"/>
      <c r="G1909" s="141"/>
      <c r="H1909" s="141"/>
      <c r="I1909" s="551"/>
      <c r="J1909" s="552"/>
      <c r="K1909" s="33"/>
      <c r="L1909" s="145"/>
    </row>
    <row r="1910" spans="5:12" s="15" customFormat="1" ht="12.75" customHeight="1" x14ac:dyDescent="0.2">
      <c r="E1910" s="27"/>
      <c r="F1910" s="27"/>
      <c r="G1910" s="141"/>
      <c r="H1910" s="141"/>
      <c r="I1910" s="551"/>
      <c r="J1910" s="552"/>
      <c r="K1910" s="33"/>
      <c r="L1910" s="145"/>
    </row>
    <row r="1911" spans="5:12" s="15" customFormat="1" ht="12.75" customHeight="1" x14ac:dyDescent="0.2">
      <c r="E1911" s="27"/>
      <c r="F1911" s="27"/>
      <c r="G1911" s="141"/>
      <c r="H1911" s="141"/>
      <c r="I1911" s="551"/>
      <c r="J1911" s="552"/>
      <c r="K1911" s="33"/>
      <c r="L1911" s="145"/>
    </row>
    <row r="1912" spans="5:12" s="15" customFormat="1" ht="12.75" customHeight="1" x14ac:dyDescent="0.2">
      <c r="E1912" s="27"/>
      <c r="F1912" s="27"/>
      <c r="G1912" s="141"/>
      <c r="H1912" s="141"/>
      <c r="I1912" s="551"/>
      <c r="J1912" s="552"/>
      <c r="K1912" s="33"/>
      <c r="L1912" s="145"/>
    </row>
    <row r="1913" spans="5:12" s="15" customFormat="1" ht="12.75" customHeight="1" x14ac:dyDescent="0.2">
      <c r="E1913" s="27"/>
      <c r="F1913" s="27"/>
      <c r="G1913" s="141"/>
      <c r="H1913" s="141"/>
      <c r="I1913" s="551"/>
      <c r="J1913" s="552"/>
      <c r="K1913" s="33"/>
      <c r="L1913" s="145"/>
    </row>
    <row r="1914" spans="5:12" s="15" customFormat="1" ht="12.75" customHeight="1" x14ac:dyDescent="0.2">
      <c r="E1914" s="27"/>
      <c r="F1914" s="27"/>
      <c r="G1914" s="141"/>
      <c r="H1914" s="141"/>
      <c r="I1914" s="551"/>
      <c r="J1914" s="552"/>
      <c r="K1914" s="33"/>
      <c r="L1914" s="145"/>
    </row>
    <row r="1915" spans="5:12" s="15" customFormat="1" ht="12.75" customHeight="1" x14ac:dyDescent="0.2">
      <c r="E1915" s="27"/>
      <c r="F1915" s="27"/>
      <c r="G1915" s="141"/>
      <c r="H1915" s="141"/>
      <c r="I1915" s="551"/>
      <c r="J1915" s="552"/>
      <c r="K1915" s="33"/>
      <c r="L1915" s="145"/>
    </row>
    <row r="1916" spans="5:12" s="15" customFormat="1" ht="12.75" customHeight="1" x14ac:dyDescent="0.2">
      <c r="E1916" s="27"/>
      <c r="F1916" s="27"/>
      <c r="G1916" s="141"/>
      <c r="H1916" s="141"/>
      <c r="I1916" s="551"/>
      <c r="J1916" s="552"/>
      <c r="K1916" s="33"/>
      <c r="L1916" s="145"/>
    </row>
    <row r="1917" spans="5:12" s="15" customFormat="1" ht="12.75" customHeight="1" x14ac:dyDescent="0.2">
      <c r="E1917" s="27"/>
      <c r="F1917" s="27"/>
      <c r="G1917" s="141"/>
      <c r="H1917" s="141"/>
      <c r="I1917" s="551"/>
      <c r="J1917" s="552"/>
      <c r="K1917" s="33"/>
      <c r="L1917" s="145"/>
    </row>
    <row r="1918" spans="5:12" s="15" customFormat="1" ht="12.75" customHeight="1" x14ac:dyDescent="0.2">
      <c r="E1918" s="27"/>
      <c r="F1918" s="27"/>
      <c r="G1918" s="141"/>
      <c r="H1918" s="141"/>
      <c r="I1918" s="551"/>
      <c r="J1918" s="552"/>
      <c r="K1918" s="33"/>
      <c r="L1918" s="145"/>
    </row>
    <row r="1919" spans="5:12" s="15" customFormat="1" ht="12.75" customHeight="1" x14ac:dyDescent="0.2">
      <c r="E1919" s="27"/>
      <c r="F1919" s="27"/>
      <c r="G1919" s="141"/>
      <c r="H1919" s="141"/>
      <c r="I1919" s="551"/>
      <c r="J1919" s="552"/>
      <c r="K1919" s="33"/>
      <c r="L1919" s="145"/>
    </row>
    <row r="1920" spans="5:12" s="15" customFormat="1" ht="12.75" customHeight="1" x14ac:dyDescent="0.2">
      <c r="E1920" s="27"/>
      <c r="F1920" s="27"/>
      <c r="G1920" s="141"/>
      <c r="H1920" s="141"/>
      <c r="I1920" s="551"/>
      <c r="J1920" s="552"/>
      <c r="K1920" s="33"/>
      <c r="L1920" s="145"/>
    </row>
    <row r="1921" spans="5:12" s="15" customFormat="1" ht="12.75" customHeight="1" x14ac:dyDescent="0.2">
      <c r="E1921" s="27"/>
      <c r="F1921" s="27"/>
      <c r="G1921" s="141"/>
      <c r="H1921" s="141"/>
      <c r="I1921" s="551"/>
      <c r="J1921" s="552"/>
      <c r="K1921" s="33"/>
      <c r="L1921" s="145"/>
    </row>
    <row r="1922" spans="5:12" s="15" customFormat="1" ht="12.75" customHeight="1" x14ac:dyDescent="0.2">
      <c r="E1922" s="27"/>
      <c r="F1922" s="27"/>
      <c r="G1922" s="141"/>
      <c r="H1922" s="141"/>
      <c r="I1922" s="551"/>
      <c r="J1922" s="552"/>
      <c r="K1922" s="33"/>
      <c r="L1922" s="145"/>
    </row>
    <row r="1923" spans="5:12" s="15" customFormat="1" ht="12.75" customHeight="1" x14ac:dyDescent="0.2">
      <c r="E1923" s="27"/>
      <c r="F1923" s="27"/>
      <c r="G1923" s="141"/>
      <c r="H1923" s="141"/>
      <c r="I1923" s="551"/>
      <c r="J1923" s="552"/>
      <c r="K1923" s="33"/>
      <c r="L1923" s="145"/>
    </row>
    <row r="1924" spans="5:12" s="15" customFormat="1" ht="12.75" customHeight="1" x14ac:dyDescent="0.2">
      <c r="E1924" s="27"/>
      <c r="F1924" s="27"/>
      <c r="G1924" s="141"/>
      <c r="H1924" s="141"/>
      <c r="I1924" s="551"/>
      <c r="J1924" s="552"/>
      <c r="K1924" s="33"/>
      <c r="L1924" s="145"/>
    </row>
    <row r="1925" spans="5:12" s="15" customFormat="1" ht="12.75" customHeight="1" x14ac:dyDescent="0.2">
      <c r="E1925" s="27"/>
      <c r="F1925" s="27"/>
      <c r="G1925" s="141"/>
      <c r="H1925" s="141"/>
      <c r="I1925" s="551"/>
      <c r="J1925" s="552"/>
      <c r="K1925" s="33"/>
      <c r="L1925" s="145"/>
    </row>
    <row r="1926" spans="5:12" s="15" customFormat="1" ht="12.75" customHeight="1" x14ac:dyDescent="0.2">
      <c r="E1926" s="27"/>
      <c r="F1926" s="27"/>
      <c r="G1926" s="141"/>
      <c r="H1926" s="141"/>
      <c r="I1926" s="551"/>
      <c r="J1926" s="552"/>
      <c r="K1926" s="33"/>
      <c r="L1926" s="145"/>
    </row>
    <row r="1927" spans="5:12" s="15" customFormat="1" ht="12.75" customHeight="1" x14ac:dyDescent="0.2">
      <c r="E1927" s="27"/>
      <c r="F1927" s="27"/>
      <c r="G1927" s="141"/>
      <c r="H1927" s="141"/>
      <c r="I1927" s="551"/>
      <c r="J1927" s="552"/>
      <c r="K1927" s="33"/>
      <c r="L1927" s="145"/>
    </row>
    <row r="1928" spans="5:12" s="15" customFormat="1" ht="12.75" customHeight="1" x14ac:dyDescent="0.2">
      <c r="E1928" s="27"/>
      <c r="F1928" s="27"/>
      <c r="G1928" s="141"/>
      <c r="H1928" s="141"/>
      <c r="I1928" s="551"/>
      <c r="J1928" s="552"/>
      <c r="K1928" s="33"/>
      <c r="L1928" s="145"/>
    </row>
    <row r="1929" spans="5:12" s="15" customFormat="1" ht="12.75" customHeight="1" x14ac:dyDescent="0.2">
      <c r="E1929" s="27"/>
      <c r="F1929" s="27"/>
      <c r="G1929" s="141"/>
      <c r="H1929" s="141"/>
      <c r="I1929" s="551"/>
      <c r="J1929" s="552"/>
      <c r="K1929" s="33"/>
      <c r="L1929" s="145"/>
    </row>
    <row r="1930" spans="5:12" s="15" customFormat="1" ht="12.75" customHeight="1" x14ac:dyDescent="0.2">
      <c r="E1930" s="27"/>
      <c r="F1930" s="27"/>
      <c r="G1930" s="141"/>
      <c r="H1930" s="141"/>
      <c r="I1930" s="551"/>
      <c r="J1930" s="552"/>
      <c r="K1930" s="33"/>
      <c r="L1930" s="145"/>
    </row>
    <row r="1931" spans="5:12" s="15" customFormat="1" ht="12.75" customHeight="1" x14ac:dyDescent="0.2">
      <c r="E1931" s="27"/>
      <c r="F1931" s="27"/>
      <c r="G1931" s="141"/>
      <c r="H1931" s="141"/>
      <c r="I1931" s="551"/>
      <c r="J1931" s="552"/>
      <c r="K1931" s="33"/>
      <c r="L1931" s="145"/>
    </row>
    <row r="1932" spans="5:12" s="15" customFormat="1" ht="12.75" customHeight="1" x14ac:dyDescent="0.2">
      <c r="E1932" s="27"/>
      <c r="F1932" s="27"/>
      <c r="G1932" s="141"/>
      <c r="H1932" s="141"/>
      <c r="I1932" s="551"/>
      <c r="J1932" s="552"/>
      <c r="K1932" s="33"/>
      <c r="L1932" s="145"/>
    </row>
    <row r="1933" spans="5:12" s="15" customFormat="1" ht="12.75" customHeight="1" x14ac:dyDescent="0.2">
      <c r="E1933" s="27"/>
      <c r="F1933" s="27"/>
      <c r="G1933" s="141"/>
      <c r="H1933" s="141"/>
      <c r="I1933" s="551"/>
      <c r="J1933" s="552"/>
      <c r="K1933" s="33"/>
      <c r="L1933" s="145"/>
    </row>
    <row r="1934" spans="5:12" s="15" customFormat="1" ht="12.75" customHeight="1" x14ac:dyDescent="0.2">
      <c r="E1934" s="27"/>
      <c r="F1934" s="27"/>
      <c r="G1934" s="141"/>
      <c r="H1934" s="141"/>
      <c r="I1934" s="551"/>
      <c r="J1934" s="552"/>
      <c r="K1934" s="33"/>
      <c r="L1934" s="145"/>
    </row>
    <row r="1935" spans="5:12" s="15" customFormat="1" ht="12.75" customHeight="1" x14ac:dyDescent="0.2">
      <c r="E1935" s="27"/>
      <c r="F1935" s="27"/>
      <c r="G1935" s="141"/>
      <c r="H1935" s="141"/>
      <c r="I1935" s="551"/>
      <c r="J1935" s="552"/>
      <c r="K1935" s="33"/>
      <c r="L1935" s="145"/>
    </row>
    <row r="1936" spans="5:12" s="15" customFormat="1" ht="12.75" customHeight="1" x14ac:dyDescent="0.2">
      <c r="E1936" s="27"/>
      <c r="F1936" s="27"/>
      <c r="G1936" s="141"/>
      <c r="H1936" s="141"/>
      <c r="I1936" s="551"/>
      <c r="J1936" s="552"/>
      <c r="K1936" s="33"/>
      <c r="L1936" s="145"/>
    </row>
    <row r="1937" spans="5:12" s="15" customFormat="1" ht="12.75" customHeight="1" x14ac:dyDescent="0.2">
      <c r="E1937" s="27"/>
      <c r="F1937" s="27"/>
      <c r="G1937" s="141"/>
      <c r="H1937" s="141"/>
      <c r="I1937" s="551"/>
      <c r="J1937" s="552"/>
      <c r="K1937" s="33"/>
      <c r="L1937" s="145"/>
    </row>
    <row r="1938" spans="5:12" s="15" customFormat="1" ht="12.75" customHeight="1" x14ac:dyDescent="0.2">
      <c r="E1938" s="27"/>
      <c r="F1938" s="27"/>
      <c r="G1938" s="141"/>
      <c r="H1938" s="141"/>
      <c r="I1938" s="551"/>
      <c r="J1938" s="552"/>
      <c r="K1938" s="33"/>
      <c r="L1938" s="145"/>
    </row>
    <row r="1939" spans="5:12" s="15" customFormat="1" ht="12.75" customHeight="1" x14ac:dyDescent="0.2">
      <c r="E1939" s="27"/>
      <c r="F1939" s="27"/>
      <c r="G1939" s="141"/>
      <c r="H1939" s="141"/>
      <c r="I1939" s="551"/>
      <c r="J1939" s="552"/>
      <c r="K1939" s="33"/>
      <c r="L1939" s="145"/>
    </row>
    <row r="1940" spans="5:12" s="15" customFormat="1" ht="12.75" customHeight="1" x14ac:dyDescent="0.2">
      <c r="E1940" s="27"/>
      <c r="F1940" s="27"/>
      <c r="G1940" s="141"/>
      <c r="H1940" s="141"/>
      <c r="I1940" s="551"/>
      <c r="J1940" s="552"/>
      <c r="K1940" s="33"/>
      <c r="L1940" s="145"/>
    </row>
    <row r="1941" spans="5:12" s="15" customFormat="1" ht="12.75" customHeight="1" x14ac:dyDescent="0.2">
      <c r="E1941" s="27"/>
      <c r="F1941" s="27"/>
      <c r="G1941" s="141"/>
      <c r="H1941" s="141"/>
      <c r="I1941" s="551"/>
      <c r="J1941" s="552"/>
      <c r="K1941" s="33"/>
      <c r="L1941" s="145"/>
    </row>
    <row r="1942" spans="5:12" s="15" customFormat="1" ht="12.75" customHeight="1" x14ac:dyDescent="0.2">
      <c r="E1942" s="27"/>
      <c r="F1942" s="27"/>
      <c r="G1942" s="141"/>
      <c r="H1942" s="141"/>
      <c r="I1942" s="551"/>
      <c r="J1942" s="552"/>
      <c r="K1942" s="33"/>
      <c r="L1942" s="145"/>
    </row>
    <row r="1943" spans="5:12" s="15" customFormat="1" ht="12.75" customHeight="1" x14ac:dyDescent="0.2">
      <c r="E1943" s="27"/>
      <c r="F1943" s="27"/>
      <c r="G1943" s="141"/>
      <c r="H1943" s="141"/>
      <c r="I1943" s="551"/>
      <c r="J1943" s="552"/>
      <c r="K1943" s="33"/>
      <c r="L1943" s="145"/>
    </row>
    <row r="1944" spans="5:12" s="15" customFormat="1" ht="12.75" customHeight="1" x14ac:dyDescent="0.2">
      <c r="E1944" s="27"/>
      <c r="F1944" s="27"/>
      <c r="G1944" s="141"/>
      <c r="H1944" s="141"/>
      <c r="I1944" s="551"/>
      <c r="J1944" s="552"/>
      <c r="K1944" s="33"/>
      <c r="L1944" s="145"/>
    </row>
    <row r="1945" spans="5:12" s="15" customFormat="1" ht="12.75" customHeight="1" x14ac:dyDescent="0.2">
      <c r="E1945" s="27"/>
      <c r="F1945" s="27"/>
      <c r="G1945" s="141"/>
      <c r="H1945" s="141"/>
      <c r="I1945" s="551"/>
      <c r="J1945" s="552"/>
      <c r="K1945" s="33"/>
      <c r="L1945" s="145"/>
    </row>
    <row r="1946" spans="5:12" s="15" customFormat="1" ht="12.75" customHeight="1" x14ac:dyDescent="0.2">
      <c r="E1946" s="27"/>
      <c r="F1946" s="27"/>
      <c r="G1946" s="141"/>
      <c r="H1946" s="141"/>
      <c r="I1946" s="551"/>
      <c r="J1946" s="552"/>
      <c r="K1946" s="33"/>
      <c r="L1946" s="145"/>
    </row>
    <row r="1947" spans="5:12" s="15" customFormat="1" ht="12.75" customHeight="1" x14ac:dyDescent="0.2">
      <c r="E1947" s="27"/>
      <c r="F1947" s="27"/>
      <c r="G1947" s="141"/>
      <c r="H1947" s="141"/>
      <c r="I1947" s="551"/>
      <c r="J1947" s="552"/>
      <c r="K1947" s="33"/>
      <c r="L1947" s="145"/>
    </row>
    <row r="1948" spans="5:12" s="15" customFormat="1" ht="12.75" customHeight="1" x14ac:dyDescent="0.2">
      <c r="E1948" s="27"/>
      <c r="F1948" s="27"/>
      <c r="G1948" s="141"/>
      <c r="H1948" s="141"/>
      <c r="I1948" s="551"/>
      <c r="J1948" s="552"/>
      <c r="K1948" s="33"/>
      <c r="L1948" s="145"/>
    </row>
    <row r="1949" spans="5:12" s="15" customFormat="1" ht="12.75" customHeight="1" x14ac:dyDescent="0.2">
      <c r="E1949" s="27"/>
      <c r="F1949" s="27"/>
      <c r="G1949" s="141"/>
      <c r="H1949" s="141"/>
      <c r="I1949" s="551"/>
      <c r="J1949" s="552"/>
      <c r="K1949" s="33"/>
      <c r="L1949" s="145"/>
    </row>
    <row r="1950" spans="5:12" s="15" customFormat="1" ht="12.75" customHeight="1" x14ac:dyDescent="0.2">
      <c r="E1950" s="27"/>
      <c r="F1950" s="27"/>
      <c r="G1950" s="141"/>
      <c r="H1950" s="141"/>
      <c r="I1950" s="551"/>
      <c r="J1950" s="552"/>
      <c r="K1950" s="33"/>
      <c r="L1950" s="145"/>
    </row>
    <row r="1951" spans="5:12" s="15" customFormat="1" ht="12.75" customHeight="1" x14ac:dyDescent="0.2">
      <c r="E1951" s="27"/>
      <c r="F1951" s="27"/>
      <c r="G1951" s="141"/>
      <c r="H1951" s="141"/>
      <c r="I1951" s="551"/>
      <c r="J1951" s="552"/>
      <c r="K1951" s="33"/>
      <c r="L1951" s="145"/>
    </row>
    <row r="1952" spans="5:12" s="15" customFormat="1" ht="12.75" customHeight="1" x14ac:dyDescent="0.2">
      <c r="E1952" s="27"/>
      <c r="F1952" s="27"/>
      <c r="G1952" s="141"/>
      <c r="H1952" s="141"/>
      <c r="I1952" s="551"/>
      <c r="J1952" s="552"/>
      <c r="K1952" s="33"/>
      <c r="L1952" s="145"/>
    </row>
    <row r="1953" spans="5:12" s="15" customFormat="1" ht="12.75" customHeight="1" x14ac:dyDescent="0.2">
      <c r="E1953" s="27"/>
      <c r="F1953" s="27"/>
      <c r="G1953" s="141"/>
      <c r="H1953" s="141"/>
      <c r="I1953" s="551"/>
      <c r="J1953" s="552"/>
      <c r="K1953" s="33"/>
      <c r="L1953" s="145"/>
    </row>
    <row r="1954" spans="5:12" s="15" customFormat="1" ht="12.75" customHeight="1" x14ac:dyDescent="0.2">
      <c r="E1954" s="27"/>
      <c r="F1954" s="27"/>
      <c r="G1954" s="141"/>
      <c r="H1954" s="141"/>
      <c r="I1954" s="551"/>
      <c r="J1954" s="552"/>
      <c r="K1954" s="33"/>
      <c r="L1954" s="145"/>
    </row>
    <row r="1955" spans="5:12" s="15" customFormat="1" ht="12.75" customHeight="1" x14ac:dyDescent="0.2">
      <c r="E1955" s="27"/>
      <c r="F1955" s="27"/>
      <c r="G1955" s="141"/>
      <c r="H1955" s="141"/>
      <c r="I1955" s="551"/>
      <c r="J1955" s="552"/>
      <c r="K1955" s="33"/>
      <c r="L1955" s="145"/>
    </row>
    <row r="1956" spans="5:12" s="15" customFormat="1" ht="12.75" customHeight="1" x14ac:dyDescent="0.2">
      <c r="E1956" s="27"/>
      <c r="F1956" s="27"/>
      <c r="G1956" s="141"/>
      <c r="H1956" s="141"/>
      <c r="I1956" s="551"/>
      <c r="J1956" s="552"/>
      <c r="K1956" s="33"/>
      <c r="L1956" s="145"/>
    </row>
    <row r="1957" spans="5:12" s="15" customFormat="1" ht="12.75" customHeight="1" x14ac:dyDescent="0.2">
      <c r="E1957" s="27"/>
      <c r="F1957" s="27"/>
      <c r="G1957" s="141"/>
      <c r="H1957" s="141"/>
      <c r="I1957" s="551"/>
      <c r="J1957" s="552"/>
      <c r="K1957" s="33"/>
      <c r="L1957" s="145"/>
    </row>
    <row r="1958" spans="5:12" s="15" customFormat="1" ht="12.75" customHeight="1" x14ac:dyDescent="0.2">
      <c r="E1958" s="27"/>
      <c r="F1958" s="27"/>
      <c r="G1958" s="141"/>
      <c r="H1958" s="141"/>
      <c r="I1958" s="551"/>
      <c r="J1958" s="552"/>
      <c r="K1958" s="33"/>
      <c r="L1958" s="145"/>
    </row>
    <row r="1959" spans="5:12" s="15" customFormat="1" ht="12.75" customHeight="1" x14ac:dyDescent="0.2">
      <c r="E1959" s="27"/>
      <c r="F1959" s="27"/>
      <c r="G1959" s="141"/>
      <c r="H1959" s="141"/>
      <c r="I1959" s="551"/>
      <c r="J1959" s="552"/>
      <c r="K1959" s="33"/>
      <c r="L1959" s="145"/>
    </row>
    <row r="1960" spans="5:12" s="15" customFormat="1" ht="12.75" customHeight="1" x14ac:dyDescent="0.2">
      <c r="E1960" s="27"/>
      <c r="F1960" s="27"/>
      <c r="G1960" s="141"/>
      <c r="H1960" s="141"/>
      <c r="I1960" s="551"/>
      <c r="J1960" s="552"/>
      <c r="K1960" s="33"/>
      <c r="L1960" s="145"/>
    </row>
    <row r="1961" spans="5:12" s="15" customFormat="1" ht="12.75" customHeight="1" x14ac:dyDescent="0.2">
      <c r="E1961" s="27"/>
      <c r="F1961" s="27"/>
      <c r="G1961" s="141"/>
      <c r="H1961" s="141"/>
      <c r="I1961" s="551"/>
      <c r="J1961" s="552"/>
      <c r="K1961" s="33"/>
      <c r="L1961" s="145"/>
    </row>
    <row r="1962" spans="5:12" s="15" customFormat="1" ht="12.75" customHeight="1" x14ac:dyDescent="0.2">
      <c r="E1962" s="27"/>
      <c r="F1962" s="27"/>
      <c r="G1962" s="141"/>
      <c r="H1962" s="141"/>
      <c r="I1962" s="551"/>
      <c r="J1962" s="552"/>
      <c r="K1962" s="33"/>
      <c r="L1962" s="145"/>
    </row>
    <row r="1963" spans="5:12" s="15" customFormat="1" ht="12.75" customHeight="1" x14ac:dyDescent="0.2">
      <c r="E1963" s="27"/>
      <c r="F1963" s="27"/>
      <c r="G1963" s="141"/>
      <c r="H1963" s="141"/>
      <c r="I1963" s="551"/>
      <c r="J1963" s="552"/>
      <c r="K1963" s="33"/>
      <c r="L1963" s="145"/>
    </row>
    <row r="1964" spans="5:12" s="15" customFormat="1" ht="12.75" customHeight="1" x14ac:dyDescent="0.2">
      <c r="E1964" s="27"/>
      <c r="F1964" s="27"/>
      <c r="G1964" s="141"/>
      <c r="H1964" s="141"/>
      <c r="I1964" s="551"/>
      <c r="J1964" s="552"/>
      <c r="K1964" s="33"/>
      <c r="L1964" s="145"/>
    </row>
    <row r="1965" spans="5:12" s="15" customFormat="1" ht="12.75" customHeight="1" x14ac:dyDescent="0.2">
      <c r="E1965" s="27"/>
      <c r="F1965" s="27"/>
      <c r="G1965" s="141"/>
      <c r="H1965" s="141"/>
      <c r="I1965" s="551"/>
      <c r="J1965" s="552"/>
      <c r="K1965" s="33"/>
      <c r="L1965" s="145"/>
    </row>
    <row r="1966" spans="5:12" s="15" customFormat="1" ht="12.75" customHeight="1" x14ac:dyDescent="0.2">
      <c r="E1966" s="27"/>
      <c r="F1966" s="27"/>
      <c r="G1966" s="141"/>
      <c r="H1966" s="141"/>
      <c r="I1966" s="551"/>
      <c r="J1966" s="552"/>
      <c r="K1966" s="33"/>
      <c r="L1966" s="145"/>
    </row>
    <row r="1967" spans="5:12" s="15" customFormat="1" ht="12.75" customHeight="1" x14ac:dyDescent="0.2">
      <c r="E1967" s="27"/>
      <c r="F1967" s="27"/>
      <c r="G1967" s="141"/>
      <c r="H1967" s="141"/>
      <c r="I1967" s="551"/>
      <c r="J1967" s="552"/>
      <c r="K1967" s="33"/>
      <c r="L1967" s="145"/>
    </row>
    <row r="1968" spans="5:12" s="15" customFormat="1" ht="12.75" customHeight="1" x14ac:dyDescent="0.2">
      <c r="E1968" s="27"/>
      <c r="F1968" s="27"/>
      <c r="G1968" s="141"/>
      <c r="H1968" s="141"/>
      <c r="I1968" s="551"/>
      <c r="J1968" s="552"/>
      <c r="K1968" s="33"/>
      <c r="L1968" s="145"/>
    </row>
    <row r="1969" spans="5:12" s="15" customFormat="1" ht="12.75" customHeight="1" x14ac:dyDescent="0.2">
      <c r="E1969" s="27"/>
      <c r="F1969" s="27"/>
      <c r="G1969" s="141"/>
      <c r="H1969" s="141"/>
      <c r="I1969" s="551"/>
      <c r="J1969" s="552"/>
      <c r="K1969" s="33"/>
      <c r="L1969" s="145"/>
    </row>
    <row r="1970" spans="5:12" s="15" customFormat="1" ht="12.75" customHeight="1" x14ac:dyDescent="0.2">
      <c r="E1970" s="27"/>
      <c r="F1970" s="27"/>
      <c r="G1970" s="141"/>
      <c r="H1970" s="141"/>
      <c r="I1970" s="551"/>
      <c r="J1970" s="552"/>
      <c r="K1970" s="33"/>
      <c r="L1970" s="145"/>
    </row>
    <row r="1971" spans="5:12" s="15" customFormat="1" ht="12.75" customHeight="1" x14ac:dyDescent="0.2">
      <c r="E1971" s="27"/>
      <c r="F1971" s="27"/>
      <c r="G1971" s="141"/>
      <c r="H1971" s="141"/>
      <c r="I1971" s="551"/>
      <c r="J1971" s="552"/>
      <c r="K1971" s="33"/>
      <c r="L1971" s="145"/>
    </row>
    <row r="1972" spans="5:12" s="15" customFormat="1" ht="12.75" customHeight="1" x14ac:dyDescent="0.2">
      <c r="E1972" s="27"/>
      <c r="F1972" s="27"/>
      <c r="G1972" s="141"/>
      <c r="H1972" s="141"/>
      <c r="I1972" s="551"/>
      <c r="J1972" s="552"/>
      <c r="K1972" s="33"/>
      <c r="L1972" s="145"/>
    </row>
    <row r="1973" spans="5:12" s="15" customFormat="1" ht="12.75" customHeight="1" x14ac:dyDescent="0.2">
      <c r="E1973" s="27"/>
      <c r="F1973" s="27"/>
      <c r="G1973" s="141"/>
      <c r="H1973" s="141"/>
      <c r="I1973" s="551"/>
      <c r="J1973" s="552"/>
      <c r="K1973" s="33"/>
      <c r="L1973" s="145"/>
    </row>
    <row r="1974" spans="5:12" s="15" customFormat="1" ht="12.75" customHeight="1" x14ac:dyDescent="0.2">
      <c r="E1974" s="27"/>
      <c r="F1974" s="27"/>
      <c r="G1974" s="141"/>
      <c r="H1974" s="141"/>
      <c r="I1974" s="551"/>
      <c r="J1974" s="552"/>
      <c r="K1974" s="33"/>
      <c r="L1974" s="145"/>
    </row>
    <row r="1975" spans="5:12" s="15" customFormat="1" ht="12.75" customHeight="1" x14ac:dyDescent="0.2">
      <c r="E1975" s="27"/>
      <c r="F1975" s="27"/>
      <c r="G1975" s="141"/>
      <c r="H1975" s="141"/>
      <c r="I1975" s="551"/>
      <c r="J1975" s="552"/>
      <c r="K1975" s="33"/>
      <c r="L1975" s="145"/>
    </row>
    <row r="1976" spans="5:12" s="15" customFormat="1" ht="12.75" customHeight="1" x14ac:dyDescent="0.2">
      <c r="E1976" s="27"/>
      <c r="F1976" s="27"/>
      <c r="G1976" s="141"/>
      <c r="H1976" s="141"/>
      <c r="I1976" s="551"/>
      <c r="J1976" s="552"/>
      <c r="K1976" s="33"/>
      <c r="L1976" s="145"/>
    </row>
    <row r="1977" spans="5:12" s="15" customFormat="1" ht="12.75" customHeight="1" x14ac:dyDescent="0.2">
      <c r="E1977" s="27"/>
      <c r="F1977" s="27"/>
      <c r="G1977" s="141"/>
      <c r="H1977" s="141"/>
      <c r="I1977" s="551"/>
      <c r="J1977" s="552"/>
      <c r="K1977" s="33"/>
      <c r="L1977" s="145"/>
    </row>
    <row r="1978" spans="5:12" s="15" customFormat="1" ht="12.75" customHeight="1" x14ac:dyDescent="0.2">
      <c r="E1978" s="27"/>
      <c r="F1978" s="27"/>
      <c r="G1978" s="141"/>
      <c r="H1978" s="141"/>
      <c r="I1978" s="551"/>
      <c r="J1978" s="552"/>
      <c r="K1978" s="33"/>
      <c r="L1978" s="145"/>
    </row>
    <row r="1979" spans="5:12" s="15" customFormat="1" ht="12.75" customHeight="1" x14ac:dyDescent="0.2">
      <c r="E1979" s="27"/>
      <c r="F1979" s="27"/>
      <c r="G1979" s="141"/>
      <c r="H1979" s="141"/>
      <c r="I1979" s="551"/>
      <c r="J1979" s="552"/>
      <c r="K1979" s="33"/>
      <c r="L1979" s="145"/>
    </row>
    <row r="1980" spans="5:12" s="15" customFormat="1" ht="12.75" customHeight="1" x14ac:dyDescent="0.2">
      <c r="E1980" s="27"/>
      <c r="F1980" s="27"/>
      <c r="G1980" s="141"/>
      <c r="H1980" s="141"/>
      <c r="I1980" s="551"/>
      <c r="J1980" s="552"/>
      <c r="K1980" s="33"/>
      <c r="L1980" s="145"/>
    </row>
    <row r="1981" spans="5:12" s="15" customFormat="1" ht="12.75" customHeight="1" x14ac:dyDescent="0.2">
      <c r="E1981" s="27"/>
      <c r="F1981" s="27"/>
      <c r="G1981" s="141"/>
      <c r="H1981" s="141"/>
      <c r="I1981" s="551"/>
      <c r="J1981" s="552"/>
      <c r="K1981" s="33"/>
      <c r="L1981" s="145"/>
    </row>
    <row r="1982" spans="5:12" s="15" customFormat="1" ht="12.75" customHeight="1" x14ac:dyDescent="0.2">
      <c r="E1982" s="27"/>
      <c r="F1982" s="27"/>
      <c r="G1982" s="141"/>
      <c r="H1982" s="141"/>
      <c r="I1982" s="551"/>
      <c r="J1982" s="552"/>
      <c r="K1982" s="33"/>
      <c r="L1982" s="145"/>
    </row>
    <row r="1983" spans="5:12" s="15" customFormat="1" ht="12.75" customHeight="1" x14ac:dyDescent="0.2">
      <c r="E1983" s="27"/>
      <c r="F1983" s="27"/>
      <c r="G1983" s="141"/>
      <c r="H1983" s="141"/>
      <c r="I1983" s="551"/>
      <c r="J1983" s="552"/>
      <c r="K1983" s="33"/>
      <c r="L1983" s="145"/>
    </row>
    <row r="1984" spans="5:12" s="15" customFormat="1" ht="12.75" customHeight="1" x14ac:dyDescent="0.2">
      <c r="E1984" s="27"/>
      <c r="F1984" s="27"/>
      <c r="G1984" s="141"/>
      <c r="H1984" s="141"/>
      <c r="I1984" s="551"/>
      <c r="J1984" s="552"/>
      <c r="K1984" s="33"/>
      <c r="L1984" s="145"/>
    </row>
    <row r="1985" spans="5:12" s="15" customFormat="1" ht="12.75" customHeight="1" x14ac:dyDescent="0.2">
      <c r="E1985" s="27"/>
      <c r="F1985" s="27"/>
      <c r="G1985" s="141"/>
      <c r="H1985" s="141"/>
      <c r="I1985" s="551"/>
      <c r="J1985" s="552"/>
      <c r="K1985" s="33"/>
      <c r="L1985" s="145"/>
    </row>
    <row r="1986" spans="5:12" s="15" customFormat="1" ht="12.75" customHeight="1" x14ac:dyDescent="0.2">
      <c r="E1986" s="27"/>
      <c r="F1986" s="27"/>
      <c r="G1986" s="141"/>
      <c r="H1986" s="141"/>
      <c r="I1986" s="551"/>
      <c r="J1986" s="552"/>
      <c r="K1986" s="33"/>
      <c r="L1986" s="145"/>
    </row>
    <row r="1987" spans="5:12" s="15" customFormat="1" ht="12.75" customHeight="1" x14ac:dyDescent="0.2">
      <c r="E1987" s="27"/>
      <c r="F1987" s="27"/>
      <c r="G1987" s="141"/>
      <c r="H1987" s="141"/>
      <c r="I1987" s="551"/>
      <c r="J1987" s="552"/>
      <c r="K1987" s="33"/>
      <c r="L1987" s="145"/>
    </row>
    <row r="1988" spans="5:12" s="15" customFormat="1" ht="12.75" customHeight="1" x14ac:dyDescent="0.2">
      <c r="E1988" s="27"/>
      <c r="F1988" s="27"/>
      <c r="G1988" s="141"/>
      <c r="H1988" s="141"/>
      <c r="I1988" s="551"/>
      <c r="J1988" s="552"/>
      <c r="K1988" s="33"/>
      <c r="L1988" s="145"/>
    </row>
    <row r="1989" spans="5:12" s="15" customFormat="1" ht="12.75" customHeight="1" x14ac:dyDescent="0.2">
      <c r="E1989" s="27"/>
      <c r="F1989" s="27"/>
      <c r="G1989" s="141"/>
      <c r="H1989" s="141"/>
      <c r="I1989" s="551"/>
      <c r="J1989" s="552"/>
      <c r="K1989" s="33"/>
      <c r="L1989" s="145"/>
    </row>
    <row r="1990" spans="5:12" s="15" customFormat="1" ht="12.75" customHeight="1" x14ac:dyDescent="0.2">
      <c r="E1990" s="27"/>
      <c r="F1990" s="27"/>
      <c r="G1990" s="141"/>
      <c r="H1990" s="141"/>
      <c r="I1990" s="551"/>
      <c r="J1990" s="552"/>
      <c r="K1990" s="33"/>
      <c r="L1990" s="145"/>
    </row>
    <row r="1991" spans="5:12" s="15" customFormat="1" ht="12.75" customHeight="1" x14ac:dyDescent="0.2">
      <c r="E1991" s="27"/>
      <c r="F1991" s="27"/>
      <c r="G1991" s="141"/>
      <c r="H1991" s="141"/>
      <c r="I1991" s="551"/>
      <c r="J1991" s="552"/>
      <c r="K1991" s="33"/>
      <c r="L1991" s="145"/>
    </row>
    <row r="1992" spans="5:12" s="15" customFormat="1" ht="12.75" customHeight="1" x14ac:dyDescent="0.2">
      <c r="E1992" s="27"/>
      <c r="F1992" s="27"/>
      <c r="G1992" s="141"/>
      <c r="H1992" s="141"/>
      <c r="I1992" s="551"/>
      <c r="J1992" s="552"/>
      <c r="K1992" s="33"/>
      <c r="L1992" s="145"/>
    </row>
    <row r="1993" spans="5:12" s="15" customFormat="1" ht="12.75" customHeight="1" x14ac:dyDescent="0.2">
      <c r="E1993" s="27"/>
      <c r="F1993" s="27"/>
      <c r="G1993" s="141"/>
      <c r="H1993" s="141"/>
      <c r="I1993" s="551"/>
      <c r="J1993" s="552"/>
      <c r="K1993" s="33"/>
      <c r="L1993" s="145"/>
    </row>
    <row r="1994" spans="5:12" s="15" customFormat="1" ht="12.75" customHeight="1" x14ac:dyDescent="0.2">
      <c r="E1994" s="27"/>
      <c r="F1994" s="27"/>
      <c r="G1994" s="141"/>
      <c r="H1994" s="141"/>
      <c r="I1994" s="551"/>
      <c r="J1994" s="552"/>
      <c r="K1994" s="33"/>
      <c r="L1994" s="145"/>
    </row>
    <row r="1995" spans="5:12" s="15" customFormat="1" ht="12.75" customHeight="1" x14ac:dyDescent="0.2">
      <c r="E1995" s="27"/>
      <c r="F1995" s="27"/>
      <c r="G1995" s="141"/>
      <c r="H1995" s="141"/>
      <c r="I1995" s="551"/>
      <c r="J1995" s="552"/>
      <c r="K1995" s="33"/>
      <c r="L1995" s="145"/>
    </row>
    <row r="1996" spans="5:12" s="15" customFormat="1" ht="12.75" customHeight="1" x14ac:dyDescent="0.2">
      <c r="E1996" s="27"/>
      <c r="F1996" s="27"/>
      <c r="G1996" s="141"/>
      <c r="H1996" s="141"/>
      <c r="I1996" s="551"/>
      <c r="J1996" s="552"/>
      <c r="K1996" s="33"/>
      <c r="L1996" s="145"/>
    </row>
    <row r="1997" spans="5:12" s="15" customFormat="1" ht="12.75" customHeight="1" x14ac:dyDescent="0.2">
      <c r="E1997" s="27"/>
      <c r="F1997" s="27"/>
      <c r="G1997" s="141"/>
      <c r="H1997" s="141"/>
      <c r="I1997" s="551"/>
      <c r="J1997" s="552"/>
      <c r="K1997" s="33"/>
      <c r="L1997" s="145"/>
    </row>
    <row r="1998" spans="5:12" s="15" customFormat="1" ht="12.75" customHeight="1" x14ac:dyDescent="0.2">
      <c r="E1998" s="27"/>
      <c r="F1998" s="27"/>
      <c r="G1998" s="141"/>
      <c r="H1998" s="141"/>
      <c r="I1998" s="551"/>
      <c r="J1998" s="552"/>
      <c r="K1998" s="33"/>
      <c r="L1998" s="145"/>
    </row>
    <row r="1999" spans="5:12" s="15" customFormat="1" ht="12.75" customHeight="1" x14ac:dyDescent="0.2">
      <c r="E1999" s="27"/>
      <c r="F1999" s="27"/>
      <c r="G1999" s="141"/>
      <c r="H1999" s="141"/>
      <c r="I1999" s="551"/>
      <c r="J1999" s="552"/>
      <c r="K1999" s="33"/>
      <c r="L1999" s="145"/>
    </row>
    <row r="2000" spans="5:12" s="15" customFormat="1" ht="12.75" customHeight="1" x14ac:dyDescent="0.2">
      <c r="E2000" s="27"/>
      <c r="F2000" s="27"/>
      <c r="G2000" s="141"/>
      <c r="H2000" s="141"/>
      <c r="I2000" s="551"/>
      <c r="J2000" s="552"/>
      <c r="K2000" s="33"/>
      <c r="L2000" s="145"/>
    </row>
    <row r="2001" spans="5:12" s="15" customFormat="1" ht="12.75" customHeight="1" x14ac:dyDescent="0.2">
      <c r="E2001" s="27"/>
      <c r="F2001" s="27"/>
      <c r="G2001" s="141"/>
      <c r="H2001" s="141"/>
      <c r="I2001" s="551"/>
      <c r="J2001" s="552"/>
      <c r="K2001" s="33"/>
      <c r="L2001" s="145"/>
    </row>
    <row r="2002" spans="5:12" s="15" customFormat="1" ht="12.75" customHeight="1" x14ac:dyDescent="0.2">
      <c r="E2002" s="27"/>
      <c r="F2002" s="27"/>
      <c r="G2002" s="141"/>
      <c r="H2002" s="141"/>
      <c r="I2002" s="551"/>
      <c r="J2002" s="552"/>
      <c r="K2002" s="33"/>
      <c r="L2002" s="145"/>
    </row>
    <row r="2003" spans="5:12" s="15" customFormat="1" ht="12.75" customHeight="1" x14ac:dyDescent="0.2">
      <c r="E2003" s="27"/>
      <c r="F2003" s="27"/>
      <c r="G2003" s="141"/>
      <c r="H2003" s="141"/>
      <c r="I2003" s="551"/>
      <c r="J2003" s="552"/>
      <c r="K2003" s="33"/>
      <c r="L2003" s="145"/>
    </row>
    <row r="2004" spans="5:12" s="15" customFormat="1" ht="12.75" customHeight="1" x14ac:dyDescent="0.2">
      <c r="E2004" s="27"/>
      <c r="F2004" s="27"/>
      <c r="G2004" s="141"/>
      <c r="H2004" s="141"/>
      <c r="I2004" s="551"/>
      <c r="J2004" s="552"/>
      <c r="K2004" s="33"/>
      <c r="L2004" s="145"/>
    </row>
    <row r="2005" spans="5:12" s="15" customFormat="1" ht="12.75" customHeight="1" x14ac:dyDescent="0.2">
      <c r="E2005" s="27"/>
      <c r="F2005" s="27"/>
      <c r="G2005" s="141"/>
      <c r="H2005" s="141"/>
      <c r="I2005" s="551"/>
      <c r="J2005" s="552"/>
      <c r="K2005" s="33"/>
      <c r="L2005" s="145"/>
    </row>
    <row r="2006" spans="5:12" s="15" customFormat="1" ht="12.75" customHeight="1" x14ac:dyDescent="0.2">
      <c r="E2006" s="27"/>
      <c r="F2006" s="27"/>
      <c r="G2006" s="141"/>
      <c r="H2006" s="141"/>
      <c r="I2006" s="551"/>
      <c r="J2006" s="552"/>
      <c r="K2006" s="33"/>
      <c r="L2006" s="145"/>
    </row>
    <row r="2007" spans="5:12" s="15" customFormat="1" ht="12.75" customHeight="1" x14ac:dyDescent="0.2">
      <c r="E2007" s="27"/>
      <c r="F2007" s="27"/>
      <c r="G2007" s="141"/>
      <c r="H2007" s="141"/>
      <c r="I2007" s="551"/>
      <c r="J2007" s="552"/>
      <c r="K2007" s="33"/>
      <c r="L2007" s="145"/>
    </row>
    <row r="2008" spans="5:12" s="15" customFormat="1" ht="12.75" customHeight="1" x14ac:dyDescent="0.2">
      <c r="E2008" s="27"/>
      <c r="F2008" s="27"/>
      <c r="G2008" s="141"/>
      <c r="H2008" s="141"/>
      <c r="I2008" s="551"/>
      <c r="J2008" s="552"/>
      <c r="K2008" s="33"/>
      <c r="L2008" s="145"/>
    </row>
    <row r="2009" spans="5:12" s="15" customFormat="1" ht="12.75" customHeight="1" x14ac:dyDescent="0.2">
      <c r="E2009" s="27"/>
      <c r="F2009" s="27"/>
      <c r="G2009" s="141"/>
      <c r="H2009" s="141"/>
      <c r="I2009" s="551"/>
      <c r="J2009" s="552"/>
      <c r="K2009" s="33"/>
      <c r="L2009" s="145"/>
    </row>
    <row r="2010" spans="5:12" s="15" customFormat="1" ht="12.75" customHeight="1" x14ac:dyDescent="0.2">
      <c r="E2010" s="27"/>
      <c r="F2010" s="27"/>
      <c r="G2010" s="141"/>
      <c r="H2010" s="141"/>
      <c r="I2010" s="551"/>
      <c r="J2010" s="552"/>
      <c r="K2010" s="33"/>
      <c r="L2010" s="145"/>
    </row>
    <row r="2011" spans="5:12" s="15" customFormat="1" ht="12.75" customHeight="1" x14ac:dyDescent="0.2">
      <c r="E2011" s="27"/>
      <c r="F2011" s="27"/>
      <c r="G2011" s="141"/>
      <c r="H2011" s="141"/>
      <c r="I2011" s="551"/>
      <c r="J2011" s="552"/>
      <c r="K2011" s="33"/>
      <c r="L2011" s="145"/>
    </row>
    <row r="2012" spans="5:12" s="15" customFormat="1" ht="12.75" customHeight="1" x14ac:dyDescent="0.2">
      <c r="E2012" s="27"/>
      <c r="F2012" s="27"/>
      <c r="G2012" s="141"/>
      <c r="H2012" s="141"/>
      <c r="I2012" s="551"/>
      <c r="J2012" s="552"/>
      <c r="K2012" s="33"/>
      <c r="L2012" s="145"/>
    </row>
    <row r="2013" spans="5:12" s="15" customFormat="1" ht="12.75" customHeight="1" x14ac:dyDescent="0.2">
      <c r="E2013" s="27"/>
      <c r="F2013" s="27"/>
      <c r="G2013" s="141"/>
      <c r="H2013" s="141"/>
      <c r="I2013" s="551"/>
      <c r="J2013" s="552"/>
      <c r="K2013" s="33"/>
      <c r="L2013" s="145"/>
    </row>
    <row r="2014" spans="5:12" s="15" customFormat="1" ht="12.75" customHeight="1" x14ac:dyDescent="0.2">
      <c r="E2014" s="27"/>
      <c r="F2014" s="27"/>
      <c r="G2014" s="141"/>
      <c r="H2014" s="141"/>
      <c r="I2014" s="551"/>
      <c r="J2014" s="552"/>
      <c r="K2014" s="33"/>
      <c r="L2014" s="145"/>
    </row>
    <row r="2015" spans="5:12" s="15" customFormat="1" ht="12.75" customHeight="1" x14ac:dyDescent="0.2">
      <c r="E2015" s="27"/>
      <c r="F2015" s="27"/>
      <c r="G2015" s="141"/>
      <c r="H2015" s="141"/>
      <c r="I2015" s="551"/>
      <c r="J2015" s="552"/>
      <c r="K2015" s="33"/>
      <c r="L2015" s="145"/>
    </row>
    <row r="2016" spans="5:12" s="15" customFormat="1" ht="12.75" customHeight="1" x14ac:dyDescent="0.2">
      <c r="E2016" s="27"/>
      <c r="F2016" s="27"/>
      <c r="G2016" s="141"/>
      <c r="H2016" s="141"/>
      <c r="I2016" s="551"/>
      <c r="J2016" s="552"/>
      <c r="K2016" s="33"/>
      <c r="L2016" s="145"/>
    </row>
    <row r="2017" spans="5:12" s="15" customFormat="1" ht="12.75" customHeight="1" x14ac:dyDescent="0.2">
      <c r="E2017" s="27"/>
      <c r="F2017" s="27"/>
      <c r="G2017" s="141"/>
      <c r="H2017" s="141"/>
      <c r="I2017" s="551"/>
      <c r="J2017" s="552"/>
      <c r="K2017" s="33"/>
      <c r="L2017" s="145"/>
    </row>
    <row r="2018" spans="5:12" s="15" customFormat="1" ht="12.75" customHeight="1" x14ac:dyDescent="0.2">
      <c r="E2018" s="27"/>
      <c r="F2018" s="27"/>
      <c r="G2018" s="141"/>
      <c r="H2018" s="141"/>
      <c r="I2018" s="551"/>
      <c r="J2018" s="552"/>
      <c r="K2018" s="33"/>
      <c r="L2018" s="145"/>
    </row>
    <row r="2019" spans="5:12" s="15" customFormat="1" ht="12.75" customHeight="1" x14ac:dyDescent="0.2">
      <c r="E2019" s="27"/>
      <c r="F2019" s="27"/>
      <c r="G2019" s="141"/>
      <c r="H2019" s="141"/>
      <c r="I2019" s="551"/>
      <c r="J2019" s="552"/>
      <c r="K2019" s="33"/>
      <c r="L2019" s="145"/>
    </row>
    <row r="2020" spans="5:12" s="15" customFormat="1" ht="12.75" customHeight="1" x14ac:dyDescent="0.2">
      <c r="E2020" s="27"/>
      <c r="F2020" s="27"/>
      <c r="G2020" s="141"/>
      <c r="H2020" s="141"/>
      <c r="I2020" s="551"/>
      <c r="J2020" s="552"/>
      <c r="K2020" s="33"/>
      <c r="L2020" s="145"/>
    </row>
    <row r="2021" spans="5:12" s="15" customFormat="1" ht="12.75" customHeight="1" x14ac:dyDescent="0.2">
      <c r="E2021" s="27"/>
      <c r="F2021" s="27"/>
      <c r="G2021" s="141"/>
      <c r="H2021" s="141"/>
      <c r="I2021" s="551"/>
      <c r="J2021" s="552"/>
      <c r="K2021" s="33"/>
      <c r="L2021" s="145"/>
    </row>
    <row r="2022" spans="5:12" s="15" customFormat="1" ht="12.75" customHeight="1" x14ac:dyDescent="0.2">
      <c r="E2022" s="27"/>
      <c r="F2022" s="27"/>
      <c r="G2022" s="141"/>
      <c r="H2022" s="141"/>
      <c r="I2022" s="551"/>
      <c r="J2022" s="552"/>
      <c r="K2022" s="33"/>
      <c r="L2022" s="145"/>
    </row>
    <row r="2023" spans="5:12" s="15" customFormat="1" ht="12.75" customHeight="1" x14ac:dyDescent="0.2">
      <c r="E2023" s="27"/>
      <c r="F2023" s="27"/>
      <c r="G2023" s="141"/>
      <c r="H2023" s="141"/>
      <c r="I2023" s="551"/>
      <c r="J2023" s="552"/>
      <c r="K2023" s="33"/>
      <c r="L2023" s="145"/>
    </row>
    <row r="2024" spans="5:12" s="15" customFormat="1" ht="12.75" customHeight="1" x14ac:dyDescent="0.2">
      <c r="E2024" s="27"/>
      <c r="F2024" s="27"/>
      <c r="G2024" s="141"/>
      <c r="H2024" s="141"/>
      <c r="I2024" s="551"/>
      <c r="J2024" s="552"/>
      <c r="K2024" s="33"/>
      <c r="L2024" s="145"/>
    </row>
    <row r="2025" spans="5:12" s="15" customFormat="1" ht="12.75" customHeight="1" x14ac:dyDescent="0.2">
      <c r="E2025" s="27"/>
      <c r="F2025" s="27"/>
      <c r="G2025" s="141"/>
      <c r="H2025" s="141"/>
      <c r="I2025" s="551"/>
      <c r="J2025" s="552"/>
      <c r="K2025" s="33"/>
      <c r="L2025" s="145"/>
    </row>
    <row r="2026" spans="5:12" s="15" customFormat="1" ht="12.75" customHeight="1" x14ac:dyDescent="0.2">
      <c r="E2026" s="27"/>
      <c r="F2026" s="27"/>
      <c r="G2026" s="141"/>
      <c r="H2026" s="141"/>
      <c r="I2026" s="551"/>
      <c r="J2026" s="552"/>
      <c r="K2026" s="33"/>
      <c r="L2026" s="145"/>
    </row>
    <row r="2027" spans="5:12" s="15" customFormat="1" ht="12.75" customHeight="1" x14ac:dyDescent="0.2">
      <c r="E2027" s="27"/>
      <c r="F2027" s="27"/>
      <c r="G2027" s="141"/>
      <c r="H2027" s="141"/>
      <c r="I2027" s="551"/>
      <c r="J2027" s="552"/>
      <c r="K2027" s="33"/>
      <c r="L2027" s="145"/>
    </row>
    <row r="2028" spans="5:12" s="15" customFormat="1" ht="12.75" customHeight="1" x14ac:dyDescent="0.2">
      <c r="E2028" s="27"/>
      <c r="F2028" s="27"/>
      <c r="G2028" s="141"/>
      <c r="H2028" s="141"/>
      <c r="I2028" s="551"/>
      <c r="J2028" s="552"/>
      <c r="K2028" s="33"/>
      <c r="L2028" s="145"/>
    </row>
    <row r="2029" spans="5:12" s="15" customFormat="1" ht="12.75" customHeight="1" x14ac:dyDescent="0.2">
      <c r="E2029" s="27"/>
      <c r="F2029" s="27"/>
      <c r="G2029" s="141"/>
      <c r="H2029" s="141"/>
      <c r="I2029" s="551"/>
      <c r="J2029" s="552"/>
      <c r="K2029" s="33"/>
      <c r="L2029" s="145"/>
    </row>
    <row r="2030" spans="5:12" s="15" customFormat="1" ht="12.75" customHeight="1" x14ac:dyDescent="0.2">
      <c r="E2030" s="27"/>
      <c r="F2030" s="27"/>
      <c r="G2030" s="141"/>
      <c r="H2030" s="141"/>
      <c r="I2030" s="551"/>
      <c r="J2030" s="552"/>
      <c r="K2030" s="33"/>
      <c r="L2030" s="145"/>
    </row>
    <row r="2031" spans="5:12" s="15" customFormat="1" ht="12.75" customHeight="1" x14ac:dyDescent="0.2">
      <c r="E2031" s="27"/>
      <c r="F2031" s="27"/>
      <c r="G2031" s="141"/>
      <c r="H2031" s="141"/>
      <c r="I2031" s="551"/>
      <c r="J2031" s="552"/>
      <c r="K2031" s="33"/>
      <c r="L2031" s="145"/>
    </row>
    <row r="2032" spans="5:12" s="15" customFormat="1" ht="12.75" customHeight="1" x14ac:dyDescent="0.2">
      <c r="E2032" s="27"/>
      <c r="F2032" s="27"/>
      <c r="G2032" s="141"/>
      <c r="H2032" s="141"/>
      <c r="I2032" s="551"/>
      <c r="J2032" s="552"/>
      <c r="K2032" s="33"/>
      <c r="L2032" s="145"/>
    </row>
    <row r="2033" spans="5:12" s="15" customFormat="1" ht="12.75" customHeight="1" x14ac:dyDescent="0.2">
      <c r="E2033" s="27"/>
      <c r="F2033" s="27"/>
      <c r="G2033" s="141"/>
      <c r="H2033" s="141"/>
      <c r="I2033" s="551"/>
      <c r="J2033" s="552"/>
      <c r="K2033" s="33"/>
      <c r="L2033" s="145"/>
    </row>
    <row r="2034" spans="5:12" s="15" customFormat="1" ht="12.75" customHeight="1" x14ac:dyDescent="0.2">
      <c r="E2034" s="27"/>
      <c r="F2034" s="27"/>
      <c r="G2034" s="141"/>
      <c r="H2034" s="141"/>
      <c r="I2034" s="551"/>
      <c r="J2034" s="552"/>
      <c r="K2034" s="33"/>
      <c r="L2034" s="145"/>
    </row>
    <row r="2035" spans="5:12" s="15" customFormat="1" ht="12.75" customHeight="1" x14ac:dyDescent="0.2">
      <c r="E2035" s="27"/>
      <c r="F2035" s="27"/>
      <c r="G2035" s="141"/>
      <c r="H2035" s="141"/>
      <c r="I2035" s="551"/>
      <c r="J2035" s="552"/>
      <c r="K2035" s="33"/>
      <c r="L2035" s="145"/>
    </row>
    <row r="2036" spans="5:12" s="15" customFormat="1" ht="12.75" customHeight="1" x14ac:dyDescent="0.2">
      <c r="E2036" s="27"/>
      <c r="F2036" s="27"/>
      <c r="G2036" s="141"/>
      <c r="H2036" s="141"/>
      <c r="I2036" s="551"/>
      <c r="J2036" s="552"/>
      <c r="K2036" s="33"/>
      <c r="L2036" s="145"/>
    </row>
    <row r="2037" spans="5:12" s="15" customFormat="1" ht="12.75" customHeight="1" x14ac:dyDescent="0.2">
      <c r="E2037" s="27"/>
      <c r="F2037" s="27"/>
      <c r="G2037" s="141"/>
      <c r="H2037" s="141"/>
      <c r="I2037" s="551"/>
      <c r="J2037" s="552"/>
      <c r="K2037" s="33"/>
      <c r="L2037" s="145"/>
    </row>
    <row r="2038" spans="5:12" s="15" customFormat="1" ht="12.75" customHeight="1" x14ac:dyDescent="0.2">
      <c r="E2038" s="27"/>
      <c r="F2038" s="27"/>
      <c r="G2038" s="141"/>
      <c r="H2038" s="141"/>
      <c r="I2038" s="551"/>
      <c r="J2038" s="552"/>
      <c r="K2038" s="33"/>
      <c r="L2038" s="145"/>
    </row>
    <row r="2039" spans="5:12" s="15" customFormat="1" ht="12.75" customHeight="1" x14ac:dyDescent="0.2">
      <c r="E2039" s="27"/>
      <c r="F2039" s="27"/>
      <c r="G2039" s="141"/>
      <c r="H2039" s="141"/>
      <c r="I2039" s="551"/>
      <c r="J2039" s="552"/>
      <c r="K2039" s="33"/>
      <c r="L2039" s="145"/>
    </row>
    <row r="2040" spans="5:12" s="15" customFormat="1" ht="12.75" customHeight="1" x14ac:dyDescent="0.2">
      <c r="E2040" s="27"/>
      <c r="F2040" s="27"/>
      <c r="G2040" s="141"/>
      <c r="H2040" s="141"/>
      <c r="I2040" s="551"/>
      <c r="J2040" s="552"/>
      <c r="K2040" s="33"/>
      <c r="L2040" s="145"/>
    </row>
    <row r="2041" spans="5:12" s="15" customFormat="1" ht="12.75" customHeight="1" x14ac:dyDescent="0.2">
      <c r="E2041" s="27"/>
      <c r="F2041" s="27"/>
      <c r="G2041" s="141"/>
      <c r="H2041" s="141"/>
      <c r="I2041" s="551"/>
      <c r="J2041" s="552"/>
      <c r="K2041" s="33"/>
      <c r="L2041" s="145"/>
    </row>
    <row r="2042" spans="5:12" s="15" customFormat="1" ht="12.75" customHeight="1" x14ac:dyDescent="0.2">
      <c r="E2042" s="27"/>
      <c r="F2042" s="27"/>
      <c r="G2042" s="141"/>
      <c r="H2042" s="141"/>
      <c r="I2042" s="551"/>
      <c r="J2042" s="552"/>
      <c r="K2042" s="33"/>
      <c r="L2042" s="145"/>
    </row>
    <row r="2043" spans="5:12" s="15" customFormat="1" ht="12.75" customHeight="1" x14ac:dyDescent="0.2">
      <c r="E2043" s="27"/>
      <c r="F2043" s="27"/>
      <c r="G2043" s="141"/>
      <c r="H2043" s="141"/>
      <c r="I2043" s="551"/>
      <c r="J2043" s="552"/>
      <c r="K2043" s="33"/>
      <c r="L2043" s="145"/>
    </row>
    <row r="2044" spans="5:12" s="15" customFormat="1" ht="12.75" customHeight="1" x14ac:dyDescent="0.2">
      <c r="E2044" s="27"/>
      <c r="F2044" s="27"/>
      <c r="G2044" s="141"/>
      <c r="H2044" s="141"/>
      <c r="I2044" s="551"/>
      <c r="J2044" s="552"/>
      <c r="K2044" s="33"/>
      <c r="L2044" s="145"/>
    </row>
    <row r="2045" spans="5:12" s="15" customFormat="1" ht="12.75" customHeight="1" x14ac:dyDescent="0.2">
      <c r="E2045" s="27"/>
      <c r="F2045" s="27"/>
      <c r="G2045" s="141"/>
      <c r="H2045" s="141"/>
      <c r="I2045" s="551"/>
      <c r="J2045" s="552"/>
      <c r="K2045" s="33"/>
      <c r="L2045" s="145"/>
    </row>
    <row r="2046" spans="5:12" s="15" customFormat="1" ht="12.75" customHeight="1" x14ac:dyDescent="0.2">
      <c r="E2046" s="27"/>
      <c r="F2046" s="27"/>
      <c r="G2046" s="141"/>
      <c r="H2046" s="141"/>
      <c r="I2046" s="551"/>
      <c r="J2046" s="552"/>
      <c r="K2046" s="33"/>
      <c r="L2046" s="145"/>
    </row>
    <row r="2047" spans="5:12" s="15" customFormat="1" ht="12.75" customHeight="1" x14ac:dyDescent="0.2">
      <c r="E2047" s="27"/>
      <c r="F2047" s="27"/>
      <c r="G2047" s="141"/>
      <c r="H2047" s="141"/>
      <c r="I2047" s="551"/>
      <c r="J2047" s="552"/>
      <c r="K2047" s="33"/>
      <c r="L2047" s="145"/>
    </row>
    <row r="2048" spans="5:12" s="15" customFormat="1" ht="12.75" customHeight="1" x14ac:dyDescent="0.2">
      <c r="E2048" s="27"/>
      <c r="F2048" s="27"/>
      <c r="G2048" s="141"/>
      <c r="H2048" s="141"/>
      <c r="I2048" s="551"/>
      <c r="J2048" s="552"/>
      <c r="K2048" s="33"/>
      <c r="L2048" s="145"/>
    </row>
    <row r="2049" spans="5:12" s="15" customFormat="1" ht="12.75" customHeight="1" x14ac:dyDescent="0.2">
      <c r="E2049" s="27"/>
      <c r="F2049" s="27"/>
      <c r="G2049" s="141"/>
      <c r="H2049" s="141"/>
      <c r="I2049" s="551"/>
      <c r="J2049" s="552"/>
      <c r="K2049" s="33"/>
      <c r="L2049" s="145"/>
    </row>
    <row r="2050" spans="5:12" s="15" customFormat="1" ht="12.75" customHeight="1" x14ac:dyDescent="0.2">
      <c r="E2050" s="27"/>
      <c r="F2050" s="27"/>
      <c r="G2050" s="141"/>
      <c r="H2050" s="141"/>
      <c r="I2050" s="551"/>
      <c r="J2050" s="552"/>
      <c r="K2050" s="33"/>
      <c r="L2050" s="145"/>
    </row>
    <row r="2051" spans="5:12" s="15" customFormat="1" ht="12.75" customHeight="1" x14ac:dyDescent="0.2">
      <c r="E2051" s="27"/>
      <c r="F2051" s="27"/>
      <c r="G2051" s="141"/>
      <c r="H2051" s="141"/>
      <c r="I2051" s="551"/>
      <c r="J2051" s="552"/>
      <c r="K2051" s="33"/>
      <c r="L2051" s="145"/>
    </row>
    <row r="2052" spans="5:12" s="15" customFormat="1" ht="12.75" customHeight="1" x14ac:dyDescent="0.2">
      <c r="E2052" s="27"/>
      <c r="F2052" s="27"/>
      <c r="G2052" s="141"/>
      <c r="H2052" s="141"/>
      <c r="I2052" s="551"/>
      <c r="J2052" s="552"/>
      <c r="K2052" s="33"/>
      <c r="L2052" s="145"/>
    </row>
    <row r="2053" spans="5:12" s="15" customFormat="1" ht="12.75" customHeight="1" x14ac:dyDescent="0.2">
      <c r="E2053" s="27"/>
      <c r="F2053" s="27"/>
      <c r="G2053" s="141"/>
      <c r="H2053" s="141"/>
      <c r="I2053" s="551"/>
      <c r="J2053" s="552"/>
      <c r="K2053" s="33"/>
      <c r="L2053" s="145"/>
    </row>
    <row r="2054" spans="5:12" s="15" customFormat="1" ht="12.75" customHeight="1" x14ac:dyDescent="0.2">
      <c r="E2054" s="27"/>
      <c r="F2054" s="27"/>
      <c r="G2054" s="141"/>
      <c r="H2054" s="141"/>
      <c r="I2054" s="551"/>
      <c r="J2054" s="552"/>
      <c r="K2054" s="33"/>
      <c r="L2054" s="145"/>
    </row>
    <row r="2055" spans="5:12" s="15" customFormat="1" ht="12.75" customHeight="1" x14ac:dyDescent="0.2">
      <c r="E2055" s="27"/>
      <c r="F2055" s="27"/>
      <c r="G2055" s="141"/>
      <c r="H2055" s="141"/>
      <c r="I2055" s="551"/>
      <c r="J2055" s="552"/>
      <c r="K2055" s="33"/>
      <c r="L2055" s="145"/>
    </row>
    <row r="2056" spans="5:12" s="15" customFormat="1" ht="12.75" customHeight="1" x14ac:dyDescent="0.2">
      <c r="E2056" s="27"/>
      <c r="F2056" s="27"/>
      <c r="G2056" s="141"/>
      <c r="H2056" s="141"/>
      <c r="I2056" s="551"/>
      <c r="J2056" s="552"/>
      <c r="K2056" s="33"/>
      <c r="L2056" s="145"/>
    </row>
    <row r="2057" spans="5:12" s="15" customFormat="1" ht="12.75" customHeight="1" x14ac:dyDescent="0.2">
      <c r="E2057" s="27"/>
      <c r="F2057" s="27"/>
      <c r="G2057" s="141"/>
      <c r="H2057" s="141"/>
      <c r="I2057" s="551"/>
      <c r="J2057" s="552"/>
      <c r="K2057" s="33"/>
      <c r="L2057" s="145"/>
    </row>
    <row r="2058" spans="5:12" s="15" customFormat="1" ht="12.75" customHeight="1" x14ac:dyDescent="0.2">
      <c r="E2058" s="27"/>
      <c r="F2058" s="27"/>
      <c r="G2058" s="141"/>
      <c r="H2058" s="141"/>
      <c r="I2058" s="551"/>
      <c r="J2058" s="552"/>
      <c r="K2058" s="33"/>
      <c r="L2058" s="145"/>
    </row>
    <row r="2059" spans="5:12" s="15" customFormat="1" ht="12.75" customHeight="1" x14ac:dyDescent="0.2">
      <c r="E2059" s="27"/>
      <c r="F2059" s="27"/>
      <c r="G2059" s="141"/>
      <c r="H2059" s="141"/>
      <c r="I2059" s="551"/>
      <c r="J2059" s="552"/>
      <c r="K2059" s="33"/>
      <c r="L2059" s="145"/>
    </row>
    <row r="2060" spans="5:12" s="15" customFormat="1" ht="12.75" customHeight="1" x14ac:dyDescent="0.2">
      <c r="E2060" s="27"/>
      <c r="F2060" s="27"/>
      <c r="G2060" s="141"/>
      <c r="H2060" s="141"/>
      <c r="I2060" s="551"/>
      <c r="J2060" s="552"/>
      <c r="K2060" s="33"/>
      <c r="L2060" s="145"/>
    </row>
    <row r="2061" spans="5:12" s="15" customFormat="1" ht="12.75" customHeight="1" x14ac:dyDescent="0.2">
      <c r="E2061" s="27"/>
      <c r="F2061" s="27"/>
      <c r="G2061" s="141"/>
      <c r="H2061" s="141"/>
      <c r="I2061" s="551"/>
      <c r="J2061" s="552"/>
      <c r="K2061" s="33"/>
      <c r="L2061" s="145"/>
    </row>
    <row r="2062" spans="5:12" s="15" customFormat="1" ht="12.75" customHeight="1" x14ac:dyDescent="0.2">
      <c r="E2062" s="27"/>
      <c r="F2062" s="27"/>
      <c r="G2062" s="141"/>
      <c r="H2062" s="141"/>
      <c r="I2062" s="551"/>
      <c r="J2062" s="552"/>
      <c r="K2062" s="33"/>
      <c r="L2062" s="145"/>
    </row>
    <row r="2063" spans="5:12" s="15" customFormat="1" ht="12.75" customHeight="1" x14ac:dyDescent="0.2">
      <c r="E2063" s="27"/>
      <c r="F2063" s="27"/>
      <c r="G2063" s="141"/>
      <c r="H2063" s="141"/>
      <c r="I2063" s="551"/>
      <c r="J2063" s="552"/>
      <c r="K2063" s="33"/>
      <c r="L2063" s="145"/>
    </row>
    <row r="2064" spans="5:12" s="15" customFormat="1" ht="12.75" customHeight="1" x14ac:dyDescent="0.2">
      <c r="E2064" s="27"/>
      <c r="F2064" s="27"/>
      <c r="G2064" s="141"/>
      <c r="H2064" s="141"/>
      <c r="I2064" s="551"/>
      <c r="J2064" s="552"/>
      <c r="K2064" s="33"/>
      <c r="L2064" s="145"/>
    </row>
    <row r="2065" spans="5:12" s="15" customFormat="1" ht="12.75" customHeight="1" x14ac:dyDescent="0.2">
      <c r="E2065" s="27"/>
      <c r="F2065" s="27"/>
      <c r="G2065" s="141"/>
      <c r="H2065" s="141"/>
      <c r="I2065" s="551"/>
      <c r="J2065" s="552"/>
      <c r="K2065" s="33"/>
      <c r="L2065" s="145"/>
    </row>
    <row r="2066" spans="5:12" s="15" customFormat="1" ht="12.75" customHeight="1" x14ac:dyDescent="0.2">
      <c r="E2066" s="27"/>
      <c r="F2066" s="27"/>
      <c r="G2066" s="141"/>
      <c r="H2066" s="141"/>
      <c r="I2066" s="551"/>
      <c r="J2066" s="552"/>
      <c r="K2066" s="33"/>
      <c r="L2066" s="145"/>
    </row>
    <row r="2067" spans="5:12" s="15" customFormat="1" ht="12.75" customHeight="1" x14ac:dyDescent="0.2">
      <c r="E2067" s="27"/>
      <c r="F2067" s="27"/>
      <c r="G2067" s="141"/>
      <c r="H2067" s="141"/>
      <c r="I2067" s="551"/>
      <c r="J2067" s="552"/>
      <c r="K2067" s="33"/>
      <c r="L2067" s="145"/>
    </row>
    <row r="2068" spans="5:12" s="15" customFormat="1" ht="12.75" customHeight="1" x14ac:dyDescent="0.2">
      <c r="E2068" s="27"/>
      <c r="F2068" s="27"/>
      <c r="G2068" s="141"/>
      <c r="H2068" s="141"/>
      <c r="I2068" s="551"/>
      <c r="J2068" s="552"/>
      <c r="K2068" s="33"/>
      <c r="L2068" s="145"/>
    </row>
    <row r="2069" spans="5:12" s="15" customFormat="1" ht="12.75" customHeight="1" x14ac:dyDescent="0.2">
      <c r="E2069" s="27"/>
      <c r="F2069" s="27"/>
      <c r="G2069" s="141"/>
      <c r="H2069" s="141"/>
      <c r="I2069" s="551"/>
      <c r="J2069" s="552"/>
      <c r="K2069" s="33"/>
      <c r="L2069" s="145"/>
    </row>
    <row r="2070" spans="5:12" s="15" customFormat="1" ht="12.75" customHeight="1" x14ac:dyDescent="0.2">
      <c r="E2070" s="27"/>
      <c r="F2070" s="27"/>
      <c r="G2070" s="141"/>
      <c r="H2070" s="141"/>
      <c r="I2070" s="551"/>
      <c r="J2070" s="552"/>
      <c r="K2070" s="33"/>
      <c r="L2070" s="145"/>
    </row>
    <row r="2071" spans="5:12" s="15" customFormat="1" ht="12.75" customHeight="1" x14ac:dyDescent="0.2">
      <c r="E2071" s="27"/>
      <c r="F2071" s="27"/>
      <c r="G2071" s="141"/>
      <c r="H2071" s="141"/>
      <c r="I2071" s="551"/>
      <c r="J2071" s="552"/>
      <c r="K2071" s="33"/>
      <c r="L2071" s="145"/>
    </row>
    <row r="2072" spans="5:12" s="15" customFormat="1" ht="12.75" customHeight="1" x14ac:dyDescent="0.2">
      <c r="E2072" s="27"/>
      <c r="F2072" s="27"/>
      <c r="G2072" s="141"/>
      <c r="H2072" s="141"/>
      <c r="I2072" s="551"/>
      <c r="J2072" s="552"/>
      <c r="K2072" s="33"/>
      <c r="L2072" s="145"/>
    </row>
    <row r="2073" spans="5:12" s="15" customFormat="1" ht="12.75" customHeight="1" x14ac:dyDescent="0.2">
      <c r="E2073" s="27"/>
      <c r="F2073" s="27"/>
      <c r="G2073" s="141"/>
      <c r="H2073" s="141"/>
      <c r="I2073" s="551"/>
      <c r="J2073" s="552"/>
      <c r="K2073" s="33"/>
      <c r="L2073" s="145"/>
    </row>
    <row r="2074" spans="5:12" s="15" customFormat="1" ht="12.75" customHeight="1" x14ac:dyDescent="0.2">
      <c r="E2074" s="27"/>
      <c r="F2074" s="27"/>
      <c r="G2074" s="141"/>
      <c r="H2074" s="141"/>
      <c r="I2074" s="551"/>
      <c r="J2074" s="552"/>
      <c r="K2074" s="33"/>
      <c r="L2074" s="145"/>
    </row>
    <row r="2075" spans="5:12" s="15" customFormat="1" ht="12.75" customHeight="1" x14ac:dyDescent="0.2">
      <c r="E2075" s="27"/>
      <c r="F2075" s="27"/>
      <c r="G2075" s="141"/>
      <c r="H2075" s="141"/>
      <c r="I2075" s="551"/>
      <c r="J2075" s="552"/>
      <c r="K2075" s="33"/>
      <c r="L2075" s="145"/>
    </row>
    <row r="2076" spans="5:12" s="15" customFormat="1" ht="12.75" customHeight="1" x14ac:dyDescent="0.2">
      <c r="E2076" s="27"/>
      <c r="F2076" s="27"/>
      <c r="G2076" s="141"/>
      <c r="H2076" s="141"/>
      <c r="I2076" s="551"/>
      <c r="J2076" s="552"/>
      <c r="K2076" s="33"/>
      <c r="L2076" s="145"/>
    </row>
    <row r="2077" spans="5:12" s="15" customFormat="1" ht="12.75" customHeight="1" x14ac:dyDescent="0.2">
      <c r="E2077" s="27"/>
      <c r="F2077" s="27"/>
      <c r="G2077" s="141"/>
      <c r="H2077" s="141"/>
      <c r="I2077" s="551"/>
      <c r="J2077" s="552"/>
      <c r="K2077" s="33"/>
      <c r="L2077" s="145"/>
    </row>
    <row r="2078" spans="5:12" s="15" customFormat="1" ht="12.75" customHeight="1" x14ac:dyDescent="0.2">
      <c r="E2078" s="27"/>
      <c r="F2078" s="27"/>
      <c r="G2078" s="141"/>
      <c r="H2078" s="141"/>
      <c r="I2078" s="551"/>
      <c r="J2078" s="552"/>
      <c r="K2078" s="33"/>
      <c r="L2078" s="145"/>
    </row>
    <row r="2079" spans="5:12" s="15" customFormat="1" ht="12.75" customHeight="1" x14ac:dyDescent="0.2">
      <c r="E2079" s="27"/>
      <c r="F2079" s="27"/>
      <c r="G2079" s="141"/>
      <c r="H2079" s="141"/>
      <c r="I2079" s="551"/>
      <c r="J2079" s="552"/>
      <c r="K2079" s="33"/>
      <c r="L2079" s="145"/>
    </row>
    <row r="2080" spans="5:12" s="15" customFormat="1" ht="12.75" customHeight="1" x14ac:dyDescent="0.2">
      <c r="E2080" s="27"/>
      <c r="F2080" s="27"/>
      <c r="G2080" s="141"/>
      <c r="H2080" s="141"/>
      <c r="I2080" s="551"/>
      <c r="J2080" s="552"/>
      <c r="K2080" s="33"/>
      <c r="L2080" s="145"/>
    </row>
    <row r="2081" spans="5:12" s="15" customFormat="1" ht="12.75" customHeight="1" x14ac:dyDescent="0.2">
      <c r="E2081" s="27"/>
      <c r="F2081" s="27"/>
      <c r="G2081" s="141"/>
      <c r="H2081" s="141"/>
      <c r="I2081" s="551"/>
      <c r="J2081" s="552"/>
      <c r="K2081" s="33"/>
      <c r="L2081" s="145"/>
    </row>
    <row r="2082" spans="5:12" s="15" customFormat="1" ht="12.75" customHeight="1" x14ac:dyDescent="0.2">
      <c r="E2082" s="27"/>
      <c r="F2082" s="27"/>
      <c r="G2082" s="141"/>
      <c r="H2082" s="141"/>
      <c r="I2082" s="551"/>
      <c r="J2082" s="552"/>
      <c r="K2082" s="33"/>
      <c r="L2082" s="145"/>
    </row>
    <row r="2083" spans="5:12" s="15" customFormat="1" ht="12.75" customHeight="1" x14ac:dyDescent="0.2">
      <c r="E2083" s="27"/>
      <c r="F2083" s="27"/>
      <c r="G2083" s="141"/>
      <c r="H2083" s="141"/>
      <c r="I2083" s="551"/>
      <c r="J2083" s="552"/>
      <c r="K2083" s="33"/>
      <c r="L2083" s="145"/>
    </row>
    <row r="2084" spans="5:12" s="15" customFormat="1" ht="12.75" customHeight="1" x14ac:dyDescent="0.2">
      <c r="E2084" s="27"/>
      <c r="F2084" s="27"/>
      <c r="G2084" s="141"/>
      <c r="H2084" s="141"/>
      <c r="I2084" s="551"/>
      <c r="J2084" s="552"/>
      <c r="K2084" s="33"/>
      <c r="L2084" s="145"/>
    </row>
    <row r="2085" spans="5:12" s="15" customFormat="1" ht="12.75" customHeight="1" x14ac:dyDescent="0.2">
      <c r="E2085" s="27"/>
      <c r="F2085" s="27"/>
      <c r="G2085" s="141"/>
      <c r="H2085" s="141"/>
      <c r="I2085" s="551"/>
      <c r="J2085" s="552"/>
      <c r="K2085" s="33"/>
      <c r="L2085" s="145"/>
    </row>
    <row r="2086" spans="5:12" s="15" customFormat="1" ht="12.75" customHeight="1" x14ac:dyDescent="0.2">
      <c r="E2086" s="27"/>
      <c r="F2086" s="27"/>
      <c r="G2086" s="141"/>
      <c r="H2086" s="141"/>
      <c r="I2086" s="551"/>
      <c r="J2086" s="552"/>
      <c r="K2086" s="33"/>
      <c r="L2086" s="145"/>
    </row>
    <row r="2087" spans="5:12" s="15" customFormat="1" ht="12.75" customHeight="1" x14ac:dyDescent="0.2">
      <c r="E2087" s="27"/>
      <c r="F2087" s="27"/>
      <c r="G2087" s="141"/>
      <c r="H2087" s="141"/>
      <c r="I2087" s="551"/>
      <c r="J2087" s="552"/>
      <c r="K2087" s="33"/>
      <c r="L2087" s="145"/>
    </row>
    <row r="2088" spans="5:12" s="15" customFormat="1" ht="12.75" customHeight="1" x14ac:dyDescent="0.2">
      <c r="E2088" s="27"/>
      <c r="F2088" s="27"/>
      <c r="G2088" s="141"/>
      <c r="H2088" s="141"/>
      <c r="I2088" s="551"/>
      <c r="J2088" s="552"/>
      <c r="K2088" s="33"/>
      <c r="L2088" s="145"/>
    </row>
    <row r="2089" spans="5:12" s="15" customFormat="1" ht="12.75" customHeight="1" x14ac:dyDescent="0.2">
      <c r="E2089" s="27"/>
      <c r="F2089" s="27"/>
      <c r="G2089" s="141"/>
      <c r="H2089" s="141"/>
      <c r="I2089" s="551"/>
      <c r="J2089" s="552"/>
      <c r="K2089" s="33"/>
      <c r="L2089" s="145"/>
    </row>
    <row r="2090" spans="5:12" s="15" customFormat="1" ht="12.75" customHeight="1" x14ac:dyDescent="0.2">
      <c r="E2090" s="27"/>
      <c r="F2090" s="27"/>
      <c r="G2090" s="141"/>
      <c r="H2090" s="141"/>
      <c r="I2090" s="551"/>
      <c r="J2090" s="552"/>
      <c r="K2090" s="33"/>
      <c r="L2090" s="145"/>
    </row>
    <row r="2091" spans="5:12" s="15" customFormat="1" ht="12.75" customHeight="1" x14ac:dyDescent="0.2">
      <c r="E2091" s="27"/>
      <c r="F2091" s="27"/>
      <c r="G2091" s="141"/>
      <c r="H2091" s="141"/>
      <c r="I2091" s="551"/>
      <c r="J2091" s="552"/>
      <c r="K2091" s="33"/>
      <c r="L2091" s="145"/>
    </row>
    <row r="2092" spans="5:12" s="15" customFormat="1" ht="12.75" customHeight="1" x14ac:dyDescent="0.2">
      <c r="E2092" s="27"/>
      <c r="F2092" s="27"/>
      <c r="G2092" s="141"/>
      <c r="H2092" s="141"/>
      <c r="I2092" s="551"/>
      <c r="J2092" s="552"/>
      <c r="K2092" s="33"/>
      <c r="L2092" s="145"/>
    </row>
    <row r="2093" spans="5:12" s="15" customFormat="1" ht="12.75" customHeight="1" x14ac:dyDescent="0.2">
      <c r="E2093" s="27"/>
      <c r="F2093" s="27"/>
      <c r="G2093" s="141"/>
      <c r="H2093" s="141"/>
      <c r="I2093" s="551"/>
      <c r="J2093" s="552"/>
      <c r="K2093" s="33"/>
      <c r="L2093" s="145"/>
    </row>
    <row r="2094" spans="5:12" s="15" customFormat="1" ht="12.75" customHeight="1" x14ac:dyDescent="0.2">
      <c r="E2094" s="27"/>
      <c r="F2094" s="27"/>
      <c r="G2094" s="141"/>
      <c r="H2094" s="141"/>
      <c r="I2094" s="551"/>
      <c r="J2094" s="552"/>
      <c r="K2094" s="33"/>
      <c r="L2094" s="145"/>
    </row>
    <row r="2095" spans="5:12" s="15" customFormat="1" ht="12.75" customHeight="1" x14ac:dyDescent="0.2">
      <c r="E2095" s="27"/>
      <c r="F2095" s="27"/>
      <c r="G2095" s="141"/>
      <c r="H2095" s="141"/>
      <c r="I2095" s="551"/>
      <c r="J2095" s="552"/>
      <c r="K2095" s="33"/>
      <c r="L2095" s="145"/>
    </row>
    <row r="2096" spans="5:12" s="15" customFormat="1" ht="12.75" customHeight="1" x14ac:dyDescent="0.2">
      <c r="E2096" s="27"/>
      <c r="F2096" s="27"/>
      <c r="G2096" s="141"/>
      <c r="H2096" s="141"/>
      <c r="I2096" s="551"/>
      <c r="J2096" s="552"/>
      <c r="K2096" s="33"/>
      <c r="L2096" s="145"/>
    </row>
    <row r="2097" spans="5:12" s="15" customFormat="1" ht="12.75" customHeight="1" x14ac:dyDescent="0.2">
      <c r="E2097" s="27"/>
      <c r="F2097" s="27"/>
      <c r="G2097" s="141"/>
      <c r="H2097" s="141"/>
      <c r="I2097" s="551"/>
      <c r="J2097" s="552"/>
      <c r="K2097" s="33"/>
      <c r="L2097" s="145"/>
    </row>
    <row r="2098" spans="5:12" s="15" customFormat="1" ht="12.75" customHeight="1" x14ac:dyDescent="0.2">
      <c r="E2098" s="27"/>
      <c r="F2098" s="27"/>
      <c r="G2098" s="141"/>
      <c r="H2098" s="141"/>
      <c r="I2098" s="551"/>
      <c r="J2098" s="552"/>
      <c r="K2098" s="33"/>
      <c r="L2098" s="145"/>
    </row>
    <row r="2099" spans="5:12" s="15" customFormat="1" ht="12.75" customHeight="1" x14ac:dyDescent="0.2">
      <c r="E2099" s="27"/>
      <c r="F2099" s="27"/>
      <c r="G2099" s="141"/>
      <c r="H2099" s="141"/>
      <c r="I2099" s="551"/>
      <c r="J2099" s="552"/>
      <c r="K2099" s="33"/>
      <c r="L2099" s="145"/>
    </row>
    <row r="2100" spans="5:12" s="15" customFormat="1" ht="12.75" customHeight="1" x14ac:dyDescent="0.2">
      <c r="E2100" s="27"/>
      <c r="F2100" s="27"/>
      <c r="G2100" s="141"/>
      <c r="H2100" s="141"/>
      <c r="I2100" s="551"/>
      <c r="J2100" s="552"/>
      <c r="K2100" s="33"/>
      <c r="L2100" s="145"/>
    </row>
    <row r="2101" spans="5:12" s="15" customFormat="1" ht="12.75" customHeight="1" x14ac:dyDescent="0.2">
      <c r="E2101" s="27"/>
      <c r="F2101" s="27"/>
      <c r="G2101" s="141"/>
      <c r="H2101" s="141"/>
      <c r="I2101" s="551"/>
      <c r="J2101" s="552"/>
      <c r="K2101" s="33"/>
      <c r="L2101" s="145"/>
    </row>
    <row r="2102" spans="5:12" s="15" customFormat="1" ht="12.75" customHeight="1" x14ac:dyDescent="0.2">
      <c r="E2102" s="27"/>
      <c r="F2102" s="27"/>
      <c r="G2102" s="141"/>
      <c r="H2102" s="141"/>
      <c r="I2102" s="551"/>
      <c r="J2102" s="552"/>
      <c r="K2102" s="33"/>
      <c r="L2102" s="145"/>
    </row>
    <row r="2103" spans="5:12" s="15" customFormat="1" ht="12.75" customHeight="1" x14ac:dyDescent="0.2">
      <c r="E2103" s="27"/>
      <c r="F2103" s="27"/>
      <c r="G2103" s="141"/>
      <c r="H2103" s="141"/>
      <c r="I2103" s="551"/>
      <c r="J2103" s="552"/>
      <c r="K2103" s="33"/>
      <c r="L2103" s="145"/>
    </row>
    <row r="2104" spans="5:12" s="15" customFormat="1" ht="12.75" customHeight="1" x14ac:dyDescent="0.2">
      <c r="E2104" s="27"/>
      <c r="F2104" s="27"/>
      <c r="G2104" s="141"/>
      <c r="H2104" s="141"/>
      <c r="I2104" s="551"/>
      <c r="J2104" s="552"/>
      <c r="K2104" s="33"/>
      <c r="L2104" s="145"/>
    </row>
    <row r="2105" spans="5:12" s="15" customFormat="1" ht="12.75" customHeight="1" x14ac:dyDescent="0.2">
      <c r="E2105" s="27"/>
      <c r="F2105" s="27"/>
      <c r="G2105" s="141"/>
      <c r="H2105" s="141"/>
      <c r="I2105" s="551"/>
      <c r="J2105" s="552"/>
      <c r="K2105" s="33"/>
      <c r="L2105" s="145"/>
    </row>
    <row r="2106" spans="5:12" s="15" customFormat="1" ht="12.75" customHeight="1" x14ac:dyDescent="0.2">
      <c r="E2106" s="27"/>
      <c r="F2106" s="27"/>
      <c r="G2106" s="141"/>
      <c r="H2106" s="141"/>
      <c r="I2106" s="551"/>
      <c r="J2106" s="552"/>
      <c r="K2106" s="33"/>
      <c r="L2106" s="145"/>
    </row>
    <row r="2107" spans="5:12" s="15" customFormat="1" ht="12.75" customHeight="1" x14ac:dyDescent="0.2">
      <c r="E2107" s="27"/>
      <c r="F2107" s="27"/>
      <c r="G2107" s="141"/>
      <c r="H2107" s="141"/>
      <c r="I2107" s="551"/>
      <c r="J2107" s="552"/>
      <c r="K2107" s="33"/>
      <c r="L2107" s="145"/>
    </row>
    <row r="2108" spans="5:12" s="15" customFormat="1" ht="12.75" customHeight="1" x14ac:dyDescent="0.2">
      <c r="E2108" s="27"/>
      <c r="F2108" s="27"/>
      <c r="G2108" s="141"/>
      <c r="H2108" s="141"/>
      <c r="I2108" s="551"/>
      <c r="J2108" s="552"/>
      <c r="K2108" s="33"/>
      <c r="L2108" s="145"/>
    </row>
    <row r="2109" spans="5:12" s="15" customFormat="1" ht="12.75" customHeight="1" x14ac:dyDescent="0.2">
      <c r="E2109" s="27"/>
      <c r="F2109" s="27"/>
      <c r="G2109" s="141"/>
      <c r="H2109" s="141"/>
      <c r="I2109" s="551"/>
      <c r="J2109" s="552"/>
      <c r="K2109" s="33"/>
      <c r="L2109" s="145"/>
    </row>
    <row r="2110" spans="5:12" s="15" customFormat="1" ht="12.75" customHeight="1" x14ac:dyDescent="0.2">
      <c r="E2110" s="27"/>
      <c r="F2110" s="27"/>
      <c r="G2110" s="141"/>
      <c r="H2110" s="141"/>
      <c r="I2110" s="551"/>
      <c r="J2110" s="552"/>
      <c r="K2110" s="33"/>
      <c r="L2110" s="145"/>
    </row>
    <row r="2111" spans="5:12" s="15" customFormat="1" ht="12.75" customHeight="1" x14ac:dyDescent="0.2">
      <c r="E2111" s="27"/>
      <c r="F2111" s="27"/>
      <c r="G2111" s="141"/>
      <c r="H2111" s="141"/>
      <c r="I2111" s="551"/>
      <c r="J2111" s="552"/>
      <c r="K2111" s="33"/>
      <c r="L2111" s="145"/>
    </row>
    <row r="2112" spans="5:12" s="15" customFormat="1" ht="12.75" customHeight="1" x14ac:dyDescent="0.2">
      <c r="E2112" s="27"/>
      <c r="F2112" s="27"/>
      <c r="G2112" s="141"/>
      <c r="H2112" s="141"/>
      <c r="I2112" s="551"/>
      <c r="J2112" s="552"/>
      <c r="K2112" s="33"/>
      <c r="L2112" s="145"/>
    </row>
    <row r="2113" spans="5:12" s="15" customFormat="1" ht="12.75" customHeight="1" x14ac:dyDescent="0.2">
      <c r="E2113" s="27"/>
      <c r="F2113" s="27"/>
      <c r="G2113" s="141"/>
      <c r="H2113" s="141"/>
      <c r="I2113" s="551"/>
      <c r="J2113" s="552"/>
      <c r="K2113" s="33"/>
      <c r="L2113" s="145"/>
    </row>
    <row r="2114" spans="5:12" s="15" customFormat="1" ht="12.75" customHeight="1" x14ac:dyDescent="0.2">
      <c r="E2114" s="27"/>
      <c r="F2114" s="27"/>
      <c r="G2114" s="141"/>
      <c r="H2114" s="141"/>
      <c r="I2114" s="551"/>
      <c r="J2114" s="552"/>
      <c r="K2114" s="33"/>
      <c r="L2114" s="145"/>
    </row>
    <row r="2115" spans="5:12" s="15" customFormat="1" ht="12.75" customHeight="1" x14ac:dyDescent="0.2">
      <c r="E2115" s="27"/>
      <c r="F2115" s="27"/>
      <c r="G2115" s="141"/>
      <c r="H2115" s="141"/>
      <c r="I2115" s="551"/>
      <c r="J2115" s="552"/>
      <c r="K2115" s="33"/>
      <c r="L2115" s="145"/>
    </row>
    <row r="2116" spans="5:12" s="15" customFormat="1" ht="12.75" customHeight="1" x14ac:dyDescent="0.2">
      <c r="E2116" s="27"/>
      <c r="F2116" s="27"/>
      <c r="G2116" s="141"/>
      <c r="H2116" s="141"/>
      <c r="I2116" s="551"/>
      <c r="J2116" s="552"/>
      <c r="K2116" s="33"/>
      <c r="L2116" s="145"/>
    </row>
    <row r="2117" spans="5:12" s="15" customFormat="1" ht="12.75" customHeight="1" x14ac:dyDescent="0.2">
      <c r="E2117" s="27"/>
      <c r="F2117" s="27"/>
      <c r="G2117" s="141"/>
      <c r="H2117" s="141"/>
      <c r="I2117" s="551"/>
      <c r="J2117" s="552"/>
      <c r="K2117" s="33"/>
      <c r="L2117" s="145"/>
    </row>
    <row r="2118" spans="5:12" s="15" customFormat="1" ht="12.75" customHeight="1" x14ac:dyDescent="0.2">
      <c r="E2118" s="27"/>
      <c r="F2118" s="27"/>
      <c r="G2118" s="141"/>
      <c r="H2118" s="141"/>
      <c r="I2118" s="551"/>
      <c r="J2118" s="552"/>
      <c r="K2118" s="33"/>
      <c r="L2118" s="145"/>
    </row>
    <row r="2119" spans="5:12" s="15" customFormat="1" ht="12.75" customHeight="1" x14ac:dyDescent="0.2">
      <c r="E2119" s="27"/>
      <c r="F2119" s="27"/>
      <c r="G2119" s="141"/>
      <c r="H2119" s="141"/>
      <c r="I2119" s="551"/>
      <c r="J2119" s="552"/>
      <c r="K2119" s="33"/>
      <c r="L2119" s="145"/>
    </row>
    <row r="2120" spans="5:12" s="15" customFormat="1" ht="12.75" customHeight="1" x14ac:dyDescent="0.2">
      <c r="E2120" s="27"/>
      <c r="F2120" s="27"/>
      <c r="G2120" s="141"/>
      <c r="H2120" s="141"/>
      <c r="I2120" s="551"/>
      <c r="J2120" s="552"/>
      <c r="K2120" s="33"/>
      <c r="L2120" s="145"/>
    </row>
    <row r="2121" spans="5:12" s="15" customFormat="1" ht="12.75" customHeight="1" x14ac:dyDescent="0.2">
      <c r="E2121" s="27"/>
      <c r="F2121" s="27"/>
      <c r="G2121" s="141"/>
      <c r="H2121" s="141"/>
      <c r="I2121" s="551"/>
      <c r="J2121" s="552"/>
      <c r="K2121" s="33"/>
      <c r="L2121" s="145"/>
    </row>
    <row r="2122" spans="5:12" s="15" customFormat="1" ht="12.75" customHeight="1" x14ac:dyDescent="0.2">
      <c r="E2122" s="27"/>
      <c r="F2122" s="27"/>
      <c r="G2122" s="141"/>
      <c r="H2122" s="141"/>
      <c r="I2122" s="551"/>
      <c r="J2122" s="552"/>
      <c r="K2122" s="33"/>
      <c r="L2122" s="145"/>
    </row>
    <row r="2123" spans="5:12" s="15" customFormat="1" ht="12.75" customHeight="1" x14ac:dyDescent="0.2">
      <c r="E2123" s="27"/>
      <c r="F2123" s="27"/>
      <c r="G2123" s="141"/>
      <c r="H2123" s="141"/>
      <c r="I2123" s="551"/>
      <c r="J2123" s="552"/>
      <c r="K2123" s="33"/>
      <c r="L2123" s="145"/>
    </row>
    <row r="2124" spans="5:12" s="15" customFormat="1" ht="12.75" customHeight="1" x14ac:dyDescent="0.2">
      <c r="E2124" s="27"/>
      <c r="F2124" s="27"/>
      <c r="G2124" s="141"/>
      <c r="H2124" s="141"/>
      <c r="I2124" s="551"/>
      <c r="J2124" s="552"/>
      <c r="K2124" s="33"/>
      <c r="L2124" s="145"/>
    </row>
    <row r="2125" spans="5:12" s="15" customFormat="1" ht="12.75" customHeight="1" x14ac:dyDescent="0.2">
      <c r="E2125" s="27"/>
      <c r="F2125" s="27"/>
      <c r="G2125" s="141"/>
      <c r="H2125" s="141"/>
      <c r="I2125" s="551"/>
      <c r="J2125" s="552"/>
      <c r="K2125" s="33"/>
      <c r="L2125" s="145"/>
    </row>
    <row r="2126" spans="5:12" s="15" customFormat="1" ht="12.75" customHeight="1" x14ac:dyDescent="0.2">
      <c r="E2126" s="27"/>
      <c r="F2126" s="27"/>
      <c r="G2126" s="141"/>
      <c r="H2126" s="141"/>
      <c r="I2126" s="551"/>
      <c r="J2126" s="552"/>
      <c r="K2126" s="33"/>
      <c r="L2126" s="145"/>
    </row>
    <row r="2127" spans="5:12" s="15" customFormat="1" ht="12.75" customHeight="1" x14ac:dyDescent="0.2">
      <c r="E2127" s="27"/>
      <c r="F2127" s="27"/>
      <c r="G2127" s="141"/>
      <c r="H2127" s="141"/>
      <c r="I2127" s="551"/>
      <c r="J2127" s="552"/>
      <c r="K2127" s="33"/>
      <c r="L2127" s="145"/>
    </row>
    <row r="2128" spans="5:12" s="15" customFormat="1" ht="12.75" customHeight="1" x14ac:dyDescent="0.2">
      <c r="E2128" s="27"/>
      <c r="F2128" s="27"/>
      <c r="G2128" s="141"/>
      <c r="H2128" s="141"/>
      <c r="I2128" s="551"/>
      <c r="J2128" s="552"/>
      <c r="K2128" s="33"/>
      <c r="L2128" s="145"/>
    </row>
    <row r="2129" spans="5:12" s="15" customFormat="1" ht="12.75" customHeight="1" x14ac:dyDescent="0.2">
      <c r="E2129" s="27"/>
      <c r="F2129" s="27"/>
      <c r="G2129" s="141"/>
      <c r="H2129" s="141"/>
      <c r="I2129" s="551"/>
      <c r="J2129" s="552"/>
      <c r="K2129" s="33"/>
      <c r="L2129" s="145"/>
    </row>
    <row r="2130" spans="5:12" s="15" customFormat="1" ht="12.75" customHeight="1" x14ac:dyDescent="0.2">
      <c r="E2130" s="27"/>
      <c r="F2130" s="27"/>
      <c r="G2130" s="141"/>
      <c r="H2130" s="141"/>
      <c r="I2130" s="551"/>
      <c r="J2130" s="552"/>
      <c r="K2130" s="33"/>
      <c r="L2130" s="145"/>
    </row>
    <row r="2131" spans="5:12" s="15" customFormat="1" ht="12.75" customHeight="1" x14ac:dyDescent="0.2">
      <c r="E2131" s="27"/>
      <c r="F2131" s="27"/>
      <c r="G2131" s="141"/>
      <c r="H2131" s="141"/>
      <c r="I2131" s="551"/>
      <c r="J2131" s="552"/>
      <c r="K2131" s="33"/>
      <c r="L2131" s="145"/>
    </row>
    <row r="2132" spans="5:12" s="15" customFormat="1" ht="12.75" customHeight="1" x14ac:dyDescent="0.2">
      <c r="E2132" s="27"/>
      <c r="F2132" s="27"/>
      <c r="G2132" s="141"/>
      <c r="H2132" s="141"/>
      <c r="I2132" s="551"/>
      <c r="J2132" s="552"/>
      <c r="K2132" s="33"/>
      <c r="L2132" s="145"/>
    </row>
    <row r="2133" spans="5:12" s="15" customFormat="1" ht="12.75" customHeight="1" x14ac:dyDescent="0.2">
      <c r="E2133" s="27"/>
      <c r="F2133" s="27"/>
      <c r="G2133" s="141"/>
      <c r="H2133" s="141"/>
      <c r="I2133" s="551"/>
      <c r="J2133" s="552"/>
      <c r="K2133" s="33"/>
      <c r="L2133" s="145"/>
    </row>
    <row r="2134" spans="5:12" s="15" customFormat="1" ht="12.75" customHeight="1" x14ac:dyDescent="0.2">
      <c r="E2134" s="27"/>
      <c r="F2134" s="27"/>
      <c r="G2134" s="141"/>
      <c r="H2134" s="141"/>
      <c r="I2134" s="551"/>
      <c r="J2134" s="552"/>
      <c r="K2134" s="33"/>
      <c r="L2134" s="145"/>
    </row>
    <row r="2135" spans="5:12" s="15" customFormat="1" ht="12.75" customHeight="1" x14ac:dyDescent="0.2">
      <c r="E2135" s="27"/>
      <c r="F2135" s="27"/>
      <c r="G2135" s="141"/>
      <c r="H2135" s="141"/>
      <c r="I2135" s="551"/>
      <c r="J2135" s="552"/>
      <c r="K2135" s="33"/>
      <c r="L2135" s="145"/>
    </row>
    <row r="2136" spans="5:12" s="15" customFormat="1" ht="12.75" customHeight="1" x14ac:dyDescent="0.2">
      <c r="E2136" s="27"/>
      <c r="F2136" s="27"/>
      <c r="G2136" s="141"/>
      <c r="H2136" s="141"/>
      <c r="I2136" s="551"/>
      <c r="J2136" s="552"/>
      <c r="K2136" s="33"/>
      <c r="L2136" s="145"/>
    </row>
    <row r="2137" spans="5:12" s="15" customFormat="1" ht="12.75" customHeight="1" x14ac:dyDescent="0.2">
      <c r="E2137" s="27"/>
      <c r="F2137" s="27"/>
      <c r="G2137" s="141"/>
      <c r="H2137" s="141"/>
      <c r="I2137" s="551"/>
      <c r="J2137" s="552"/>
      <c r="K2137" s="33"/>
      <c r="L2137" s="145"/>
    </row>
    <row r="2138" spans="5:12" s="15" customFormat="1" ht="12.75" customHeight="1" x14ac:dyDescent="0.2">
      <c r="E2138" s="27"/>
      <c r="F2138" s="27"/>
      <c r="G2138" s="141"/>
      <c r="H2138" s="141"/>
      <c r="I2138" s="551"/>
      <c r="J2138" s="552"/>
      <c r="K2138" s="33"/>
      <c r="L2138" s="145"/>
    </row>
    <row r="2139" spans="5:12" s="15" customFormat="1" ht="12.75" customHeight="1" x14ac:dyDescent="0.2">
      <c r="E2139" s="27"/>
      <c r="F2139" s="27"/>
      <c r="G2139" s="141"/>
      <c r="H2139" s="141"/>
      <c r="I2139" s="551"/>
      <c r="J2139" s="552"/>
      <c r="K2139" s="33"/>
      <c r="L2139" s="145"/>
    </row>
    <row r="2140" spans="5:12" s="15" customFormat="1" ht="12.75" customHeight="1" x14ac:dyDescent="0.2">
      <c r="E2140" s="27"/>
      <c r="F2140" s="27"/>
      <c r="G2140" s="141"/>
      <c r="H2140" s="141"/>
      <c r="I2140" s="551"/>
      <c r="J2140" s="552"/>
      <c r="K2140" s="33"/>
      <c r="L2140" s="145"/>
    </row>
    <row r="2141" spans="5:12" s="15" customFormat="1" ht="12.75" customHeight="1" x14ac:dyDescent="0.2">
      <c r="E2141" s="27"/>
      <c r="F2141" s="27"/>
      <c r="G2141" s="141"/>
      <c r="H2141" s="141"/>
      <c r="I2141" s="551"/>
      <c r="J2141" s="552"/>
      <c r="K2141" s="33"/>
      <c r="L2141" s="145"/>
    </row>
    <row r="2142" spans="5:12" s="15" customFormat="1" ht="12.75" customHeight="1" x14ac:dyDescent="0.2">
      <c r="E2142" s="27"/>
      <c r="F2142" s="27"/>
      <c r="G2142" s="141"/>
      <c r="H2142" s="141"/>
      <c r="I2142" s="551"/>
      <c r="J2142" s="552"/>
      <c r="K2142" s="33"/>
      <c r="L2142" s="145"/>
    </row>
    <row r="2143" spans="5:12" s="15" customFormat="1" ht="12.75" customHeight="1" x14ac:dyDescent="0.2">
      <c r="E2143" s="27"/>
      <c r="F2143" s="27"/>
      <c r="G2143" s="141"/>
      <c r="H2143" s="141"/>
      <c r="I2143" s="551"/>
      <c r="J2143" s="552"/>
      <c r="K2143" s="33"/>
      <c r="L2143" s="145"/>
    </row>
    <row r="2144" spans="5:12" s="15" customFormat="1" ht="12.75" customHeight="1" x14ac:dyDescent="0.2">
      <c r="E2144" s="27"/>
      <c r="F2144" s="27"/>
      <c r="G2144" s="141"/>
      <c r="H2144" s="141"/>
      <c r="I2144" s="551"/>
      <c r="J2144" s="552"/>
      <c r="K2144" s="33"/>
      <c r="L2144" s="145"/>
    </row>
    <row r="2145" spans="5:12" s="15" customFormat="1" ht="12.75" customHeight="1" x14ac:dyDescent="0.2">
      <c r="E2145" s="27"/>
      <c r="F2145" s="27"/>
      <c r="G2145" s="141"/>
      <c r="H2145" s="141"/>
      <c r="I2145" s="551"/>
      <c r="J2145" s="552"/>
      <c r="K2145" s="33"/>
      <c r="L2145" s="145"/>
    </row>
    <row r="2146" spans="5:12" s="15" customFormat="1" ht="12.75" customHeight="1" x14ac:dyDescent="0.2">
      <c r="E2146" s="27"/>
      <c r="F2146" s="27"/>
      <c r="G2146" s="141"/>
      <c r="H2146" s="141"/>
      <c r="I2146" s="551"/>
      <c r="J2146" s="552"/>
      <c r="K2146" s="33"/>
      <c r="L2146" s="145"/>
    </row>
    <row r="2147" spans="5:12" s="15" customFormat="1" ht="12.75" customHeight="1" x14ac:dyDescent="0.2">
      <c r="E2147" s="27"/>
      <c r="F2147" s="27"/>
      <c r="G2147" s="141"/>
      <c r="H2147" s="141"/>
      <c r="I2147" s="551"/>
      <c r="J2147" s="552"/>
      <c r="K2147" s="33"/>
      <c r="L2147" s="145"/>
    </row>
    <row r="2148" spans="5:12" s="15" customFormat="1" ht="12.75" customHeight="1" x14ac:dyDescent="0.2">
      <c r="E2148" s="27"/>
      <c r="F2148" s="27"/>
      <c r="G2148" s="141"/>
      <c r="H2148" s="141"/>
      <c r="I2148" s="551"/>
      <c r="J2148" s="552"/>
      <c r="K2148" s="33"/>
      <c r="L2148" s="145"/>
    </row>
    <row r="2149" spans="5:12" s="15" customFormat="1" ht="12.75" customHeight="1" x14ac:dyDescent="0.2">
      <c r="E2149" s="27"/>
      <c r="F2149" s="27"/>
      <c r="G2149" s="141"/>
      <c r="H2149" s="141"/>
      <c r="I2149" s="551"/>
      <c r="J2149" s="552"/>
      <c r="K2149" s="33"/>
      <c r="L2149" s="145"/>
    </row>
    <row r="2150" spans="5:12" s="15" customFormat="1" ht="12.75" customHeight="1" x14ac:dyDescent="0.2">
      <c r="E2150" s="27"/>
      <c r="F2150" s="27"/>
      <c r="G2150" s="141"/>
      <c r="H2150" s="141"/>
      <c r="I2150" s="551"/>
      <c r="J2150" s="552"/>
      <c r="K2150" s="33"/>
      <c r="L2150" s="145"/>
    </row>
    <row r="2151" spans="5:12" s="15" customFormat="1" ht="12.75" customHeight="1" x14ac:dyDescent="0.2">
      <c r="E2151" s="27"/>
      <c r="F2151" s="27"/>
      <c r="G2151" s="141"/>
      <c r="H2151" s="141"/>
      <c r="I2151" s="551"/>
      <c r="J2151" s="552"/>
      <c r="K2151" s="33"/>
      <c r="L2151" s="145"/>
    </row>
    <row r="2152" spans="5:12" s="15" customFormat="1" ht="12.75" customHeight="1" x14ac:dyDescent="0.2">
      <c r="E2152" s="27"/>
      <c r="F2152" s="27"/>
      <c r="G2152" s="141"/>
      <c r="H2152" s="141"/>
      <c r="I2152" s="551"/>
      <c r="J2152" s="552"/>
      <c r="K2152" s="33"/>
      <c r="L2152" s="145"/>
    </row>
    <row r="2153" spans="5:12" s="15" customFormat="1" ht="12.75" customHeight="1" x14ac:dyDescent="0.2">
      <c r="E2153" s="27"/>
      <c r="F2153" s="27"/>
      <c r="G2153" s="141"/>
      <c r="H2153" s="141"/>
      <c r="I2153" s="551"/>
      <c r="J2153" s="552"/>
      <c r="K2153" s="33"/>
      <c r="L2153" s="145"/>
    </row>
    <row r="2154" spans="5:12" s="15" customFormat="1" ht="12.75" customHeight="1" x14ac:dyDescent="0.2">
      <c r="E2154" s="27"/>
      <c r="F2154" s="27"/>
      <c r="G2154" s="141"/>
      <c r="H2154" s="141"/>
      <c r="I2154" s="551"/>
      <c r="J2154" s="552"/>
      <c r="K2154" s="33"/>
      <c r="L2154" s="145"/>
    </row>
    <row r="2155" spans="5:12" s="15" customFormat="1" ht="12.75" customHeight="1" x14ac:dyDescent="0.2">
      <c r="E2155" s="27"/>
      <c r="F2155" s="27"/>
      <c r="G2155" s="141"/>
      <c r="H2155" s="141"/>
      <c r="I2155" s="551"/>
      <c r="J2155" s="552"/>
      <c r="K2155" s="33"/>
      <c r="L2155" s="145"/>
    </row>
    <row r="2156" spans="5:12" s="15" customFormat="1" ht="12.75" customHeight="1" x14ac:dyDescent="0.2">
      <c r="E2156" s="27"/>
      <c r="F2156" s="27"/>
      <c r="G2156" s="141"/>
      <c r="H2156" s="141"/>
      <c r="I2156" s="551"/>
      <c r="J2156" s="552"/>
      <c r="K2156" s="33"/>
      <c r="L2156" s="145"/>
    </row>
    <row r="2157" spans="5:12" s="15" customFormat="1" ht="12.75" customHeight="1" x14ac:dyDescent="0.2">
      <c r="E2157" s="27"/>
      <c r="F2157" s="27"/>
      <c r="G2157" s="141"/>
      <c r="H2157" s="141"/>
      <c r="I2157" s="551"/>
      <c r="J2157" s="552"/>
      <c r="K2157" s="33"/>
      <c r="L2157" s="145"/>
    </row>
    <row r="2158" spans="5:12" s="15" customFormat="1" ht="12.75" customHeight="1" x14ac:dyDescent="0.2">
      <c r="E2158" s="27"/>
      <c r="F2158" s="27"/>
      <c r="G2158" s="141"/>
      <c r="H2158" s="141"/>
      <c r="I2158" s="551"/>
      <c r="J2158" s="552"/>
      <c r="K2158" s="33"/>
      <c r="L2158" s="145"/>
    </row>
    <row r="2159" spans="5:12" s="15" customFormat="1" ht="12.75" customHeight="1" x14ac:dyDescent="0.2">
      <c r="E2159" s="27"/>
      <c r="F2159" s="27"/>
      <c r="G2159" s="141"/>
      <c r="H2159" s="141"/>
      <c r="I2159" s="551"/>
      <c r="J2159" s="552"/>
      <c r="K2159" s="33"/>
      <c r="L2159" s="145"/>
    </row>
    <row r="2160" spans="5:12" s="15" customFormat="1" ht="12.75" customHeight="1" x14ac:dyDescent="0.2">
      <c r="E2160" s="27"/>
      <c r="F2160" s="27"/>
      <c r="G2160" s="141"/>
      <c r="H2160" s="141"/>
      <c r="I2160" s="551"/>
      <c r="J2160" s="552"/>
      <c r="K2160" s="33"/>
      <c r="L2160" s="145"/>
    </row>
    <row r="2161" spans="5:12" s="15" customFormat="1" ht="12.75" customHeight="1" x14ac:dyDescent="0.2">
      <c r="E2161" s="27"/>
      <c r="F2161" s="27"/>
      <c r="G2161" s="141"/>
      <c r="H2161" s="141"/>
      <c r="I2161" s="551"/>
      <c r="J2161" s="552"/>
      <c r="K2161" s="33"/>
      <c r="L2161" s="145"/>
    </row>
    <row r="2162" spans="5:12" s="15" customFormat="1" ht="12.75" customHeight="1" x14ac:dyDescent="0.2">
      <c r="E2162" s="27"/>
      <c r="F2162" s="27"/>
      <c r="G2162" s="141"/>
      <c r="H2162" s="141"/>
      <c r="I2162" s="551"/>
      <c r="J2162" s="552"/>
      <c r="K2162" s="33"/>
      <c r="L2162" s="145"/>
    </row>
    <row r="2163" spans="5:12" s="15" customFormat="1" ht="12.75" customHeight="1" x14ac:dyDescent="0.2">
      <c r="E2163" s="27"/>
      <c r="F2163" s="27"/>
      <c r="G2163" s="141"/>
      <c r="H2163" s="141"/>
      <c r="I2163" s="551"/>
      <c r="J2163" s="552"/>
      <c r="K2163" s="33"/>
      <c r="L2163" s="145"/>
    </row>
    <row r="2164" spans="5:12" s="15" customFormat="1" ht="12.75" customHeight="1" x14ac:dyDescent="0.2">
      <c r="E2164" s="27"/>
      <c r="F2164" s="27"/>
      <c r="G2164" s="141"/>
      <c r="H2164" s="141"/>
      <c r="I2164" s="551"/>
      <c r="J2164" s="552"/>
      <c r="K2164" s="33"/>
      <c r="L2164" s="145"/>
    </row>
    <row r="2165" spans="5:12" s="15" customFormat="1" ht="12.75" customHeight="1" x14ac:dyDescent="0.2">
      <c r="E2165" s="27"/>
      <c r="F2165" s="27"/>
      <c r="G2165" s="141"/>
      <c r="H2165" s="141"/>
      <c r="I2165" s="551"/>
      <c r="J2165" s="552"/>
      <c r="K2165" s="33"/>
      <c r="L2165" s="145"/>
    </row>
    <row r="2166" spans="5:12" s="15" customFormat="1" ht="12.75" customHeight="1" x14ac:dyDescent="0.2">
      <c r="E2166" s="27"/>
      <c r="F2166" s="27"/>
      <c r="G2166" s="141"/>
      <c r="H2166" s="141"/>
      <c r="I2166" s="551"/>
      <c r="J2166" s="552"/>
      <c r="K2166" s="33"/>
      <c r="L2166" s="145"/>
    </row>
    <row r="2167" spans="5:12" s="15" customFormat="1" ht="12.75" customHeight="1" x14ac:dyDescent="0.2">
      <c r="E2167" s="27"/>
      <c r="F2167" s="27"/>
      <c r="G2167" s="141"/>
      <c r="H2167" s="141"/>
      <c r="I2167" s="551"/>
      <c r="J2167" s="552"/>
      <c r="K2167" s="33"/>
      <c r="L2167" s="145"/>
    </row>
    <row r="2168" spans="5:12" s="15" customFormat="1" ht="12.75" customHeight="1" x14ac:dyDescent="0.2">
      <c r="E2168" s="27"/>
      <c r="F2168" s="27"/>
      <c r="G2168" s="141"/>
      <c r="H2168" s="141"/>
      <c r="I2168" s="551"/>
      <c r="J2168" s="552"/>
      <c r="K2168" s="33"/>
      <c r="L2168" s="145"/>
    </row>
    <row r="2169" spans="5:12" s="15" customFormat="1" ht="12.75" customHeight="1" x14ac:dyDescent="0.2">
      <c r="E2169" s="27"/>
      <c r="F2169" s="27"/>
      <c r="G2169" s="141"/>
      <c r="H2169" s="141"/>
      <c r="I2169" s="551"/>
      <c r="J2169" s="552"/>
      <c r="K2169" s="33"/>
      <c r="L2169" s="145"/>
    </row>
    <row r="2170" spans="5:12" s="15" customFormat="1" ht="12.75" customHeight="1" x14ac:dyDescent="0.2">
      <c r="E2170" s="27"/>
      <c r="F2170" s="27"/>
      <c r="G2170" s="141"/>
      <c r="H2170" s="141"/>
      <c r="I2170" s="551"/>
      <c r="J2170" s="552"/>
      <c r="K2170" s="33"/>
      <c r="L2170" s="145"/>
    </row>
    <row r="2171" spans="5:12" s="15" customFormat="1" ht="12.75" customHeight="1" x14ac:dyDescent="0.2">
      <c r="E2171" s="27"/>
      <c r="F2171" s="27"/>
      <c r="G2171" s="141"/>
      <c r="H2171" s="141"/>
      <c r="I2171" s="551"/>
      <c r="J2171" s="552"/>
      <c r="K2171" s="33"/>
      <c r="L2171" s="145"/>
    </row>
    <row r="2172" spans="5:12" s="15" customFormat="1" ht="12.75" customHeight="1" x14ac:dyDescent="0.2">
      <c r="E2172" s="27"/>
      <c r="F2172" s="27"/>
      <c r="G2172" s="141"/>
      <c r="H2172" s="141"/>
      <c r="I2172" s="551"/>
      <c r="J2172" s="552"/>
      <c r="K2172" s="33"/>
      <c r="L2172" s="145"/>
    </row>
    <row r="2173" spans="5:12" s="15" customFormat="1" ht="12.75" customHeight="1" x14ac:dyDescent="0.2">
      <c r="E2173" s="27"/>
      <c r="F2173" s="27"/>
      <c r="G2173" s="141"/>
      <c r="H2173" s="141"/>
      <c r="I2173" s="551"/>
      <c r="J2173" s="552"/>
      <c r="K2173" s="33"/>
      <c r="L2173" s="145"/>
    </row>
    <row r="2174" spans="5:12" s="15" customFormat="1" ht="12.75" customHeight="1" x14ac:dyDescent="0.2">
      <c r="E2174" s="27"/>
      <c r="F2174" s="27"/>
      <c r="G2174" s="141"/>
      <c r="H2174" s="141"/>
      <c r="I2174" s="551"/>
      <c r="J2174" s="552"/>
      <c r="K2174" s="33"/>
      <c r="L2174" s="145"/>
    </row>
    <row r="2175" spans="5:12" s="15" customFormat="1" ht="12.75" customHeight="1" x14ac:dyDescent="0.2">
      <c r="E2175" s="27"/>
      <c r="F2175" s="27"/>
      <c r="G2175" s="141"/>
      <c r="H2175" s="141"/>
      <c r="I2175" s="551"/>
      <c r="J2175" s="552"/>
      <c r="K2175" s="33"/>
      <c r="L2175" s="145"/>
    </row>
    <row r="2176" spans="5:12" s="15" customFormat="1" ht="12.75" customHeight="1" x14ac:dyDescent="0.2">
      <c r="E2176" s="27"/>
      <c r="F2176" s="27"/>
      <c r="G2176" s="141"/>
      <c r="H2176" s="141"/>
      <c r="I2176" s="551"/>
      <c r="J2176" s="552"/>
      <c r="K2176" s="33"/>
      <c r="L2176" s="145"/>
    </row>
    <row r="2177" spans="5:12" s="15" customFormat="1" ht="12.75" customHeight="1" x14ac:dyDescent="0.2">
      <c r="E2177" s="27"/>
      <c r="F2177" s="27"/>
      <c r="G2177" s="141"/>
      <c r="H2177" s="141"/>
      <c r="I2177" s="551"/>
      <c r="J2177" s="552"/>
      <c r="K2177" s="33"/>
      <c r="L2177" s="145"/>
    </row>
    <row r="2178" spans="5:12" s="15" customFormat="1" ht="12.75" customHeight="1" x14ac:dyDescent="0.2">
      <c r="E2178" s="27"/>
      <c r="F2178" s="27"/>
      <c r="G2178" s="141"/>
      <c r="H2178" s="141"/>
      <c r="I2178" s="551"/>
      <c r="J2178" s="552"/>
      <c r="K2178" s="33"/>
      <c r="L2178" s="145"/>
    </row>
    <row r="2179" spans="5:12" s="15" customFormat="1" ht="12.75" customHeight="1" x14ac:dyDescent="0.2">
      <c r="E2179" s="27"/>
      <c r="F2179" s="27"/>
      <c r="G2179" s="141"/>
      <c r="H2179" s="141"/>
      <c r="I2179" s="551"/>
      <c r="J2179" s="552"/>
      <c r="K2179" s="33"/>
      <c r="L2179" s="145"/>
    </row>
    <row r="2180" spans="5:12" s="15" customFormat="1" ht="12.75" customHeight="1" x14ac:dyDescent="0.2">
      <c r="E2180" s="27"/>
      <c r="F2180" s="27"/>
      <c r="G2180" s="141"/>
      <c r="H2180" s="141"/>
      <c r="I2180" s="551"/>
      <c r="J2180" s="552"/>
      <c r="K2180" s="33"/>
      <c r="L2180" s="145"/>
    </row>
    <row r="2181" spans="5:12" s="15" customFormat="1" ht="12.75" customHeight="1" x14ac:dyDescent="0.2">
      <c r="E2181" s="27"/>
      <c r="F2181" s="27"/>
      <c r="G2181" s="141"/>
      <c r="H2181" s="141"/>
      <c r="I2181" s="551"/>
      <c r="J2181" s="552"/>
      <c r="K2181" s="33"/>
      <c r="L2181" s="145"/>
    </row>
    <row r="2182" spans="5:12" s="15" customFormat="1" ht="12.75" customHeight="1" x14ac:dyDescent="0.2">
      <c r="E2182" s="27"/>
      <c r="F2182" s="27"/>
      <c r="G2182" s="141"/>
      <c r="H2182" s="141"/>
      <c r="I2182" s="551"/>
      <c r="J2182" s="552"/>
      <c r="K2182" s="33"/>
      <c r="L2182" s="145"/>
    </row>
    <row r="2183" spans="5:12" s="15" customFormat="1" ht="12.75" customHeight="1" x14ac:dyDescent="0.2">
      <c r="E2183" s="27"/>
      <c r="F2183" s="27"/>
      <c r="G2183" s="141"/>
      <c r="H2183" s="141"/>
      <c r="I2183" s="551"/>
      <c r="J2183" s="552"/>
      <c r="K2183" s="33"/>
      <c r="L2183" s="145"/>
    </row>
    <row r="2184" spans="5:12" s="15" customFormat="1" ht="12.75" customHeight="1" x14ac:dyDescent="0.2">
      <c r="E2184" s="27"/>
      <c r="F2184" s="27"/>
      <c r="G2184" s="141"/>
      <c r="H2184" s="141"/>
      <c r="I2184" s="551"/>
      <c r="J2184" s="552"/>
      <c r="K2184" s="33"/>
      <c r="L2184" s="145"/>
    </row>
    <row r="2185" spans="5:12" s="15" customFormat="1" ht="12.75" customHeight="1" x14ac:dyDescent="0.2">
      <c r="E2185" s="27"/>
      <c r="F2185" s="27"/>
      <c r="G2185" s="141"/>
      <c r="H2185" s="141"/>
      <c r="I2185" s="551"/>
      <c r="J2185" s="552"/>
      <c r="K2185" s="33"/>
      <c r="L2185" s="145"/>
    </row>
    <row r="2186" spans="5:12" s="15" customFormat="1" ht="12.75" customHeight="1" x14ac:dyDescent="0.2">
      <c r="E2186" s="27"/>
      <c r="F2186" s="27"/>
      <c r="G2186" s="141"/>
      <c r="H2186" s="141"/>
      <c r="I2186" s="551"/>
      <c r="J2186" s="552"/>
      <c r="K2186" s="33"/>
      <c r="L2186" s="145"/>
    </row>
    <row r="2187" spans="5:12" s="15" customFormat="1" ht="12.75" customHeight="1" x14ac:dyDescent="0.2">
      <c r="E2187" s="27"/>
      <c r="F2187" s="27"/>
      <c r="G2187" s="141"/>
      <c r="H2187" s="141"/>
      <c r="I2187" s="551"/>
      <c r="J2187" s="552"/>
      <c r="K2187" s="33"/>
      <c r="L2187" s="145"/>
    </row>
    <row r="2188" spans="5:12" s="15" customFormat="1" ht="12.75" customHeight="1" x14ac:dyDescent="0.2">
      <c r="E2188" s="27"/>
      <c r="F2188" s="27"/>
      <c r="G2188" s="141"/>
      <c r="H2188" s="141"/>
      <c r="I2188" s="551"/>
      <c r="J2188" s="552"/>
      <c r="K2188" s="33"/>
      <c r="L2188" s="145"/>
    </row>
    <row r="2189" spans="5:12" s="15" customFormat="1" ht="12.75" customHeight="1" x14ac:dyDescent="0.2">
      <c r="E2189" s="27"/>
      <c r="F2189" s="27"/>
      <c r="G2189" s="141"/>
      <c r="H2189" s="141"/>
      <c r="I2189" s="551"/>
      <c r="J2189" s="552"/>
      <c r="K2189" s="33"/>
      <c r="L2189" s="145"/>
    </row>
    <row r="2190" spans="5:12" s="15" customFormat="1" ht="12.75" customHeight="1" x14ac:dyDescent="0.2">
      <c r="E2190" s="27"/>
      <c r="F2190" s="27"/>
      <c r="G2190" s="141"/>
      <c r="H2190" s="141"/>
      <c r="I2190" s="551"/>
      <c r="J2190" s="552"/>
      <c r="K2190" s="33"/>
      <c r="L2190" s="145"/>
    </row>
    <row r="2191" spans="5:12" s="15" customFormat="1" ht="12.75" customHeight="1" x14ac:dyDescent="0.2">
      <c r="E2191" s="27"/>
      <c r="F2191" s="27"/>
      <c r="G2191" s="141"/>
      <c r="H2191" s="141"/>
      <c r="I2191" s="551"/>
      <c r="J2191" s="552"/>
      <c r="K2191" s="33"/>
      <c r="L2191" s="145"/>
    </row>
    <row r="2192" spans="5:12" s="15" customFormat="1" ht="12.75" customHeight="1" x14ac:dyDescent="0.2">
      <c r="E2192" s="27"/>
      <c r="F2192" s="27"/>
      <c r="G2192" s="141"/>
      <c r="H2192" s="141"/>
      <c r="I2192" s="551"/>
      <c r="J2192" s="552"/>
      <c r="K2192" s="33"/>
      <c r="L2192" s="145"/>
    </row>
    <row r="2193" spans="5:12" s="15" customFormat="1" ht="12.75" customHeight="1" x14ac:dyDescent="0.2">
      <c r="E2193" s="27"/>
      <c r="F2193" s="27"/>
      <c r="G2193" s="141"/>
      <c r="H2193" s="141"/>
      <c r="I2193" s="551"/>
      <c r="J2193" s="552"/>
      <c r="K2193" s="33"/>
      <c r="L2193" s="145"/>
    </row>
    <row r="2194" spans="5:12" s="15" customFormat="1" ht="12.75" customHeight="1" x14ac:dyDescent="0.2">
      <c r="E2194" s="27"/>
      <c r="F2194" s="27"/>
      <c r="G2194" s="141"/>
      <c r="H2194" s="141"/>
      <c r="I2194" s="551"/>
      <c r="J2194" s="552"/>
      <c r="K2194" s="33"/>
      <c r="L2194" s="145"/>
    </row>
    <row r="2195" spans="5:12" s="15" customFormat="1" ht="12.75" customHeight="1" x14ac:dyDescent="0.2">
      <c r="E2195" s="27"/>
      <c r="F2195" s="27"/>
      <c r="G2195" s="141"/>
      <c r="H2195" s="141"/>
      <c r="I2195" s="551"/>
      <c r="J2195" s="552"/>
      <c r="K2195" s="33"/>
      <c r="L2195" s="145"/>
    </row>
    <row r="2196" spans="5:12" s="15" customFormat="1" ht="12.75" customHeight="1" x14ac:dyDescent="0.2">
      <c r="E2196" s="27"/>
      <c r="F2196" s="27"/>
      <c r="G2196" s="141"/>
      <c r="H2196" s="141"/>
      <c r="I2196" s="551"/>
      <c r="J2196" s="552"/>
      <c r="K2196" s="33"/>
      <c r="L2196" s="145"/>
    </row>
    <row r="2197" spans="5:12" s="15" customFormat="1" ht="12.75" customHeight="1" x14ac:dyDescent="0.2">
      <c r="E2197" s="27"/>
      <c r="F2197" s="27"/>
      <c r="G2197" s="141"/>
      <c r="H2197" s="141"/>
      <c r="I2197" s="551"/>
      <c r="J2197" s="552"/>
      <c r="K2197" s="33"/>
      <c r="L2197" s="145"/>
    </row>
    <row r="2198" spans="5:12" s="15" customFormat="1" ht="12.75" customHeight="1" x14ac:dyDescent="0.2">
      <c r="E2198" s="27"/>
      <c r="F2198" s="27"/>
      <c r="G2198" s="141"/>
      <c r="H2198" s="141"/>
      <c r="I2198" s="551"/>
      <c r="J2198" s="552"/>
      <c r="K2198" s="33"/>
      <c r="L2198" s="145"/>
    </row>
    <row r="2199" spans="5:12" s="15" customFormat="1" ht="12.75" customHeight="1" x14ac:dyDescent="0.2">
      <c r="E2199" s="27"/>
      <c r="F2199" s="27"/>
      <c r="G2199" s="141"/>
      <c r="H2199" s="141"/>
      <c r="I2199" s="551"/>
      <c r="J2199" s="552"/>
      <c r="K2199" s="33"/>
      <c r="L2199" s="145"/>
    </row>
    <row r="2200" spans="5:12" s="15" customFormat="1" ht="12.75" customHeight="1" x14ac:dyDescent="0.2">
      <c r="E2200" s="27"/>
      <c r="F2200" s="27"/>
      <c r="G2200" s="141"/>
      <c r="H2200" s="141"/>
      <c r="I2200" s="551"/>
      <c r="J2200" s="552"/>
      <c r="K2200" s="33"/>
      <c r="L2200" s="145"/>
    </row>
    <row r="2201" spans="5:12" s="15" customFormat="1" ht="12.75" customHeight="1" x14ac:dyDescent="0.2">
      <c r="E2201" s="27"/>
      <c r="F2201" s="27"/>
      <c r="G2201" s="141"/>
      <c r="H2201" s="141"/>
      <c r="I2201" s="551"/>
      <c r="J2201" s="552"/>
      <c r="K2201" s="33"/>
      <c r="L2201" s="145"/>
    </row>
    <row r="2202" spans="5:12" s="15" customFormat="1" ht="12.75" customHeight="1" x14ac:dyDescent="0.2">
      <c r="E2202" s="27"/>
      <c r="F2202" s="27"/>
      <c r="G2202" s="141"/>
      <c r="H2202" s="141"/>
      <c r="I2202" s="551"/>
      <c r="J2202" s="552"/>
      <c r="K2202" s="33"/>
      <c r="L2202" s="145"/>
    </row>
    <row r="2203" spans="5:12" s="15" customFormat="1" ht="12.75" customHeight="1" x14ac:dyDescent="0.2">
      <c r="E2203" s="27"/>
      <c r="F2203" s="27"/>
      <c r="G2203" s="141"/>
      <c r="H2203" s="141"/>
      <c r="I2203" s="551"/>
      <c r="J2203" s="552"/>
      <c r="K2203" s="33"/>
      <c r="L2203" s="145"/>
    </row>
    <row r="2204" spans="5:12" s="15" customFormat="1" ht="12.75" customHeight="1" x14ac:dyDescent="0.2">
      <c r="E2204" s="27"/>
      <c r="F2204" s="27"/>
      <c r="G2204" s="141"/>
      <c r="H2204" s="141"/>
      <c r="I2204" s="551"/>
      <c r="J2204" s="552"/>
      <c r="K2204" s="33"/>
      <c r="L2204" s="145"/>
    </row>
    <row r="2205" spans="5:12" s="15" customFormat="1" ht="12.75" customHeight="1" x14ac:dyDescent="0.2">
      <c r="E2205" s="27"/>
      <c r="F2205" s="27"/>
      <c r="G2205" s="141"/>
      <c r="H2205" s="141"/>
      <c r="I2205" s="551"/>
      <c r="J2205" s="552"/>
      <c r="K2205" s="33"/>
      <c r="L2205" s="145"/>
    </row>
    <row r="2206" spans="5:12" s="15" customFormat="1" ht="12.75" customHeight="1" x14ac:dyDescent="0.2">
      <c r="E2206" s="27"/>
      <c r="F2206" s="27"/>
      <c r="G2206" s="141"/>
      <c r="H2206" s="141"/>
      <c r="I2206" s="551"/>
      <c r="J2206" s="552"/>
      <c r="K2206" s="33"/>
      <c r="L2206" s="145"/>
    </row>
    <row r="2207" spans="5:12" s="15" customFormat="1" ht="12.75" customHeight="1" x14ac:dyDescent="0.2">
      <c r="E2207" s="27"/>
      <c r="F2207" s="27"/>
      <c r="G2207" s="141"/>
      <c r="H2207" s="141"/>
      <c r="I2207" s="551"/>
      <c r="J2207" s="552"/>
      <c r="K2207" s="33"/>
      <c r="L2207" s="145"/>
    </row>
    <row r="2208" spans="5:12" s="15" customFormat="1" ht="12.75" customHeight="1" x14ac:dyDescent="0.2">
      <c r="E2208" s="27"/>
      <c r="F2208" s="27"/>
      <c r="G2208" s="141"/>
      <c r="H2208" s="141"/>
      <c r="I2208" s="551"/>
      <c r="J2208" s="552"/>
      <c r="K2208" s="33"/>
      <c r="L2208" s="145"/>
    </row>
    <row r="2209" spans="5:12" s="15" customFormat="1" ht="12.75" customHeight="1" x14ac:dyDescent="0.2">
      <c r="E2209" s="27"/>
      <c r="F2209" s="27"/>
      <c r="G2209" s="141"/>
      <c r="H2209" s="141"/>
      <c r="I2209" s="551"/>
      <c r="J2209" s="552"/>
      <c r="K2209" s="33"/>
      <c r="L2209" s="145"/>
    </row>
    <row r="2210" spans="5:12" s="15" customFormat="1" ht="12.75" customHeight="1" x14ac:dyDescent="0.2">
      <c r="E2210" s="27"/>
      <c r="F2210" s="27"/>
      <c r="G2210" s="141"/>
      <c r="H2210" s="141"/>
      <c r="I2210" s="551"/>
      <c r="J2210" s="552"/>
      <c r="K2210" s="33"/>
      <c r="L2210" s="145"/>
    </row>
    <row r="2211" spans="5:12" s="15" customFormat="1" ht="12.75" customHeight="1" x14ac:dyDescent="0.2">
      <c r="E2211" s="27"/>
      <c r="F2211" s="27"/>
      <c r="G2211" s="141"/>
      <c r="H2211" s="141"/>
      <c r="I2211" s="551"/>
      <c r="J2211" s="552"/>
      <c r="K2211" s="33"/>
      <c r="L2211" s="145"/>
    </row>
    <row r="2212" spans="5:12" s="15" customFormat="1" ht="12.75" customHeight="1" x14ac:dyDescent="0.2">
      <c r="E2212" s="27"/>
      <c r="F2212" s="27"/>
      <c r="G2212" s="141"/>
      <c r="H2212" s="141"/>
      <c r="I2212" s="551"/>
      <c r="J2212" s="552"/>
      <c r="K2212" s="33"/>
      <c r="L2212" s="145"/>
    </row>
    <row r="2213" spans="5:12" s="15" customFormat="1" ht="12.75" customHeight="1" x14ac:dyDescent="0.2">
      <c r="E2213" s="27"/>
      <c r="F2213" s="27"/>
      <c r="G2213" s="141"/>
      <c r="H2213" s="141"/>
      <c r="I2213" s="551"/>
      <c r="J2213" s="552"/>
      <c r="K2213" s="33"/>
      <c r="L2213" s="145"/>
    </row>
    <row r="2214" spans="5:12" s="15" customFormat="1" ht="12.75" customHeight="1" x14ac:dyDescent="0.2">
      <c r="E2214" s="27"/>
      <c r="F2214" s="27"/>
      <c r="G2214" s="141"/>
      <c r="H2214" s="141"/>
      <c r="I2214" s="551"/>
      <c r="J2214" s="552"/>
      <c r="K2214" s="33"/>
      <c r="L2214" s="145"/>
    </row>
    <row r="2215" spans="5:12" s="15" customFormat="1" ht="12.75" customHeight="1" x14ac:dyDescent="0.2">
      <c r="E2215" s="27"/>
      <c r="F2215" s="27"/>
      <c r="G2215" s="141"/>
      <c r="H2215" s="141"/>
      <c r="I2215" s="551"/>
      <c r="J2215" s="552"/>
      <c r="K2215" s="33"/>
      <c r="L2215" s="145"/>
    </row>
    <row r="2216" spans="5:12" s="15" customFormat="1" ht="12.75" customHeight="1" x14ac:dyDescent="0.2">
      <c r="E2216" s="27"/>
      <c r="F2216" s="27"/>
      <c r="G2216" s="141"/>
      <c r="H2216" s="141"/>
      <c r="I2216" s="551"/>
      <c r="J2216" s="552"/>
      <c r="K2216" s="33"/>
      <c r="L2216" s="145"/>
    </row>
    <row r="2217" spans="5:12" s="15" customFormat="1" ht="12.75" customHeight="1" x14ac:dyDescent="0.2">
      <c r="E2217" s="27"/>
      <c r="F2217" s="27"/>
      <c r="G2217" s="141"/>
      <c r="H2217" s="141"/>
      <c r="I2217" s="551"/>
      <c r="J2217" s="552"/>
      <c r="K2217" s="33"/>
      <c r="L2217" s="145"/>
    </row>
    <row r="2218" spans="5:12" s="15" customFormat="1" ht="12.75" customHeight="1" x14ac:dyDescent="0.2">
      <c r="E2218" s="27"/>
      <c r="F2218" s="27"/>
      <c r="G2218" s="141"/>
      <c r="H2218" s="141"/>
      <c r="I2218" s="551"/>
      <c r="J2218" s="552"/>
      <c r="K2218" s="33"/>
      <c r="L2218" s="145"/>
    </row>
    <row r="2219" spans="5:12" s="15" customFormat="1" ht="12.75" customHeight="1" x14ac:dyDescent="0.2">
      <c r="E2219" s="27"/>
      <c r="F2219" s="27"/>
      <c r="G2219" s="141"/>
      <c r="H2219" s="141"/>
      <c r="I2219" s="551"/>
      <c r="J2219" s="552"/>
      <c r="K2219" s="33"/>
      <c r="L2219" s="145"/>
    </row>
    <row r="2220" spans="5:12" s="15" customFormat="1" ht="12.75" customHeight="1" x14ac:dyDescent="0.2">
      <c r="E2220" s="27"/>
      <c r="F2220" s="27"/>
      <c r="G2220" s="141"/>
      <c r="H2220" s="141"/>
      <c r="I2220" s="551"/>
      <c r="J2220" s="552"/>
      <c r="K2220" s="33"/>
      <c r="L2220" s="145"/>
    </row>
    <row r="2221" spans="5:12" s="15" customFormat="1" ht="12.75" customHeight="1" x14ac:dyDescent="0.2">
      <c r="E2221" s="27"/>
      <c r="F2221" s="27"/>
      <c r="G2221" s="141"/>
      <c r="H2221" s="141"/>
      <c r="I2221" s="551"/>
      <c r="J2221" s="552"/>
      <c r="K2221" s="33"/>
      <c r="L2221" s="145"/>
    </row>
    <row r="2222" spans="5:12" s="15" customFormat="1" ht="12.75" customHeight="1" x14ac:dyDescent="0.2">
      <c r="E2222" s="27"/>
      <c r="F2222" s="27"/>
      <c r="G2222" s="141"/>
      <c r="H2222" s="141"/>
      <c r="I2222" s="551"/>
      <c r="J2222" s="552"/>
      <c r="K2222" s="33"/>
      <c r="L2222" s="145"/>
    </row>
    <row r="2223" spans="5:12" s="15" customFormat="1" ht="12.75" customHeight="1" x14ac:dyDescent="0.2">
      <c r="E2223" s="27"/>
      <c r="F2223" s="27"/>
      <c r="G2223" s="141"/>
      <c r="H2223" s="141"/>
      <c r="I2223" s="551"/>
      <c r="J2223" s="552"/>
      <c r="K2223" s="33"/>
      <c r="L2223" s="145"/>
    </row>
    <row r="2224" spans="5:12" s="15" customFormat="1" ht="12.75" customHeight="1" x14ac:dyDescent="0.2">
      <c r="E2224" s="27"/>
      <c r="F2224" s="27"/>
      <c r="G2224" s="141"/>
      <c r="H2224" s="141"/>
      <c r="I2224" s="551"/>
      <c r="J2224" s="552"/>
      <c r="K2224" s="33"/>
      <c r="L2224" s="145"/>
    </row>
    <row r="2225" spans="5:12" s="15" customFormat="1" ht="12.75" customHeight="1" x14ac:dyDescent="0.2">
      <c r="E2225" s="27"/>
      <c r="F2225" s="27"/>
      <c r="G2225" s="141"/>
      <c r="H2225" s="141"/>
      <c r="I2225" s="551"/>
      <c r="J2225" s="552"/>
      <c r="K2225" s="33"/>
      <c r="L2225" s="145"/>
    </row>
    <row r="2226" spans="5:12" s="15" customFormat="1" ht="12.75" customHeight="1" x14ac:dyDescent="0.2">
      <c r="E2226" s="27"/>
      <c r="F2226" s="27"/>
      <c r="G2226" s="141"/>
      <c r="H2226" s="141"/>
      <c r="I2226" s="551"/>
      <c r="J2226" s="552"/>
      <c r="K2226" s="33"/>
      <c r="L2226" s="145"/>
    </row>
    <row r="2227" spans="5:12" s="15" customFormat="1" ht="12.75" customHeight="1" x14ac:dyDescent="0.2">
      <c r="E2227" s="27"/>
      <c r="F2227" s="27"/>
      <c r="G2227" s="141"/>
      <c r="H2227" s="141"/>
      <c r="I2227" s="551"/>
      <c r="J2227" s="552"/>
      <c r="K2227" s="33"/>
      <c r="L2227" s="145"/>
    </row>
    <row r="2228" spans="5:12" s="15" customFormat="1" ht="12.75" customHeight="1" x14ac:dyDescent="0.2">
      <c r="E2228" s="27"/>
      <c r="F2228" s="27"/>
      <c r="G2228" s="141"/>
      <c r="H2228" s="141"/>
      <c r="I2228" s="551"/>
      <c r="J2228" s="552"/>
      <c r="K2228" s="33"/>
      <c r="L2228" s="145"/>
    </row>
    <row r="2229" spans="5:12" s="15" customFormat="1" ht="12.75" customHeight="1" x14ac:dyDescent="0.2">
      <c r="E2229" s="27"/>
      <c r="F2229" s="27"/>
      <c r="G2229" s="141"/>
      <c r="H2229" s="141"/>
      <c r="I2229" s="551"/>
      <c r="J2229" s="552"/>
      <c r="K2229" s="33"/>
      <c r="L2229" s="145"/>
    </row>
    <row r="2230" spans="5:12" s="15" customFormat="1" ht="12.75" customHeight="1" x14ac:dyDescent="0.2">
      <c r="E2230" s="27"/>
      <c r="F2230" s="27"/>
      <c r="G2230" s="141"/>
      <c r="H2230" s="141"/>
      <c r="I2230" s="551"/>
      <c r="J2230" s="552"/>
      <c r="K2230" s="33"/>
      <c r="L2230" s="145"/>
    </row>
    <row r="2231" spans="5:12" s="15" customFormat="1" ht="12.75" customHeight="1" x14ac:dyDescent="0.2">
      <c r="E2231" s="27"/>
      <c r="F2231" s="27"/>
      <c r="G2231" s="141"/>
      <c r="H2231" s="141"/>
      <c r="I2231" s="551"/>
      <c r="J2231" s="552"/>
      <c r="K2231" s="33"/>
      <c r="L2231" s="145"/>
    </row>
    <row r="2232" spans="5:12" s="15" customFormat="1" ht="12.75" customHeight="1" x14ac:dyDescent="0.2">
      <c r="E2232" s="27"/>
      <c r="F2232" s="27"/>
      <c r="G2232" s="141"/>
      <c r="H2232" s="141"/>
      <c r="I2232" s="551"/>
      <c r="J2232" s="552"/>
      <c r="K2232" s="33"/>
      <c r="L2232" s="145"/>
    </row>
    <row r="2233" spans="5:12" s="15" customFormat="1" ht="12.75" customHeight="1" x14ac:dyDescent="0.2">
      <c r="E2233" s="27"/>
      <c r="F2233" s="27"/>
      <c r="G2233" s="141"/>
      <c r="H2233" s="141"/>
      <c r="I2233" s="551"/>
      <c r="J2233" s="552"/>
      <c r="K2233" s="33"/>
      <c r="L2233" s="145"/>
    </row>
    <row r="2234" spans="5:12" s="15" customFormat="1" ht="12.75" customHeight="1" x14ac:dyDescent="0.2">
      <c r="E2234" s="27"/>
      <c r="F2234" s="27"/>
      <c r="G2234" s="141"/>
      <c r="H2234" s="141"/>
      <c r="I2234" s="551"/>
      <c r="J2234" s="552"/>
      <c r="K2234" s="33"/>
      <c r="L2234" s="145"/>
    </row>
    <row r="2235" spans="5:12" s="15" customFormat="1" ht="12.75" customHeight="1" x14ac:dyDescent="0.2">
      <c r="E2235" s="27"/>
      <c r="F2235" s="27"/>
      <c r="G2235" s="141"/>
      <c r="H2235" s="141"/>
      <c r="I2235" s="551"/>
      <c r="J2235" s="552"/>
      <c r="K2235" s="33"/>
      <c r="L2235" s="145"/>
    </row>
    <row r="2236" spans="5:12" s="15" customFormat="1" ht="12.75" customHeight="1" x14ac:dyDescent="0.2">
      <c r="E2236" s="27"/>
      <c r="F2236" s="27"/>
      <c r="G2236" s="141"/>
      <c r="H2236" s="141"/>
      <c r="I2236" s="551"/>
      <c r="J2236" s="552"/>
      <c r="K2236" s="33"/>
      <c r="L2236" s="145"/>
    </row>
    <row r="2237" spans="5:12" s="15" customFormat="1" ht="12.75" customHeight="1" x14ac:dyDescent="0.2">
      <c r="E2237" s="27"/>
      <c r="F2237" s="27"/>
      <c r="G2237" s="141"/>
      <c r="H2237" s="141"/>
      <c r="I2237" s="551"/>
      <c r="J2237" s="552"/>
      <c r="K2237" s="33"/>
      <c r="L2237" s="145"/>
    </row>
    <row r="2238" spans="5:12" s="15" customFormat="1" ht="12.75" customHeight="1" x14ac:dyDescent="0.2">
      <c r="E2238" s="27"/>
      <c r="F2238" s="27"/>
      <c r="G2238" s="141"/>
      <c r="H2238" s="141"/>
      <c r="I2238" s="551"/>
      <c r="J2238" s="552"/>
      <c r="K2238" s="33"/>
      <c r="L2238" s="145"/>
    </row>
    <row r="2239" spans="5:12" s="15" customFormat="1" ht="12.75" customHeight="1" x14ac:dyDescent="0.2">
      <c r="E2239" s="27"/>
      <c r="F2239" s="27"/>
      <c r="G2239" s="141"/>
      <c r="H2239" s="141"/>
      <c r="I2239" s="551"/>
      <c r="J2239" s="552"/>
      <c r="K2239" s="33"/>
      <c r="L2239" s="145"/>
    </row>
    <row r="2240" spans="5:12" s="15" customFormat="1" ht="12.75" customHeight="1" x14ac:dyDescent="0.2">
      <c r="E2240" s="27"/>
      <c r="F2240" s="27"/>
      <c r="G2240" s="141"/>
      <c r="H2240" s="141"/>
      <c r="I2240" s="551"/>
      <c r="J2240" s="552"/>
      <c r="K2240" s="33"/>
      <c r="L2240" s="145"/>
    </row>
    <row r="2241" spans="5:12" s="15" customFormat="1" ht="12.75" customHeight="1" x14ac:dyDescent="0.2">
      <c r="E2241" s="27"/>
      <c r="F2241" s="27"/>
      <c r="G2241" s="141"/>
      <c r="H2241" s="141"/>
      <c r="I2241" s="551"/>
      <c r="J2241" s="552"/>
      <c r="K2241" s="33"/>
      <c r="L2241" s="145"/>
    </row>
    <row r="2242" spans="5:12" s="15" customFormat="1" ht="12.75" customHeight="1" x14ac:dyDescent="0.2">
      <c r="E2242" s="27"/>
      <c r="F2242" s="27"/>
      <c r="G2242" s="141"/>
      <c r="H2242" s="141"/>
      <c r="I2242" s="551"/>
      <c r="J2242" s="552"/>
      <c r="K2242" s="33"/>
      <c r="L2242" s="145"/>
    </row>
    <row r="2243" spans="5:12" s="15" customFormat="1" ht="12.75" customHeight="1" x14ac:dyDescent="0.2">
      <c r="E2243" s="27"/>
      <c r="F2243" s="27"/>
      <c r="G2243" s="141"/>
      <c r="H2243" s="141"/>
      <c r="I2243" s="551"/>
      <c r="J2243" s="552"/>
      <c r="K2243" s="33"/>
      <c r="L2243" s="145"/>
    </row>
    <row r="2244" spans="5:12" s="15" customFormat="1" ht="12.75" customHeight="1" x14ac:dyDescent="0.2">
      <c r="E2244" s="27"/>
      <c r="F2244" s="27"/>
      <c r="G2244" s="141"/>
      <c r="H2244" s="141"/>
      <c r="I2244" s="551"/>
      <c r="J2244" s="552"/>
      <c r="K2244" s="33"/>
      <c r="L2244" s="145"/>
    </row>
    <row r="2245" spans="5:12" s="15" customFormat="1" ht="12.75" customHeight="1" x14ac:dyDescent="0.2">
      <c r="E2245" s="27"/>
      <c r="F2245" s="27"/>
      <c r="G2245" s="141"/>
      <c r="H2245" s="141"/>
      <c r="I2245" s="551"/>
      <c r="J2245" s="552"/>
      <c r="K2245" s="33"/>
      <c r="L2245" s="145"/>
    </row>
    <row r="2246" spans="5:12" s="15" customFormat="1" ht="12.75" customHeight="1" x14ac:dyDescent="0.2">
      <c r="E2246" s="27"/>
      <c r="F2246" s="27"/>
      <c r="G2246" s="141"/>
      <c r="H2246" s="141"/>
      <c r="I2246" s="551"/>
      <c r="J2246" s="552"/>
      <c r="K2246" s="33"/>
      <c r="L2246" s="145"/>
    </row>
    <row r="2247" spans="5:12" s="15" customFormat="1" ht="12.75" customHeight="1" x14ac:dyDescent="0.2">
      <c r="E2247" s="27"/>
      <c r="F2247" s="27"/>
      <c r="G2247" s="141"/>
      <c r="H2247" s="141"/>
      <c r="I2247" s="551"/>
      <c r="J2247" s="552"/>
      <c r="K2247" s="33"/>
      <c r="L2247" s="145"/>
    </row>
    <row r="2248" spans="5:12" s="15" customFormat="1" ht="12.75" customHeight="1" x14ac:dyDescent="0.2">
      <c r="E2248" s="27"/>
      <c r="F2248" s="27"/>
      <c r="G2248" s="141"/>
      <c r="H2248" s="141"/>
      <c r="I2248" s="551"/>
      <c r="J2248" s="552"/>
      <c r="K2248" s="33"/>
      <c r="L2248" s="145"/>
    </row>
    <row r="2249" spans="5:12" s="15" customFormat="1" ht="12.75" customHeight="1" x14ac:dyDescent="0.2">
      <c r="E2249" s="27"/>
      <c r="F2249" s="27"/>
      <c r="G2249" s="141"/>
      <c r="H2249" s="141"/>
      <c r="I2249" s="551"/>
      <c r="J2249" s="552"/>
      <c r="K2249" s="33"/>
      <c r="L2249" s="145"/>
    </row>
    <row r="2250" spans="5:12" s="15" customFormat="1" ht="12.75" customHeight="1" x14ac:dyDescent="0.2">
      <c r="E2250" s="27"/>
      <c r="F2250" s="27"/>
      <c r="G2250" s="141"/>
      <c r="H2250" s="141"/>
      <c r="I2250" s="551"/>
      <c r="J2250" s="552"/>
      <c r="K2250" s="33"/>
      <c r="L2250" s="145"/>
    </row>
    <row r="2251" spans="5:12" s="15" customFormat="1" ht="12.75" customHeight="1" x14ac:dyDescent="0.2">
      <c r="E2251" s="27"/>
      <c r="F2251" s="27"/>
      <c r="G2251" s="141"/>
      <c r="H2251" s="141"/>
      <c r="I2251" s="551"/>
      <c r="J2251" s="552"/>
      <c r="K2251" s="33"/>
      <c r="L2251" s="145"/>
    </row>
    <row r="2252" spans="5:12" s="15" customFormat="1" ht="12.75" customHeight="1" x14ac:dyDescent="0.2">
      <c r="E2252" s="27"/>
      <c r="F2252" s="27"/>
      <c r="G2252" s="141"/>
      <c r="H2252" s="141"/>
      <c r="I2252" s="551"/>
      <c r="J2252" s="552"/>
      <c r="K2252" s="33"/>
      <c r="L2252" s="145"/>
    </row>
    <row r="2253" spans="5:12" s="15" customFormat="1" ht="12.75" customHeight="1" x14ac:dyDescent="0.2">
      <c r="E2253" s="27"/>
      <c r="F2253" s="27"/>
      <c r="G2253" s="141"/>
      <c r="H2253" s="141"/>
      <c r="I2253" s="551"/>
      <c r="J2253" s="552"/>
      <c r="K2253" s="33"/>
      <c r="L2253" s="145"/>
    </row>
    <row r="2254" spans="5:12" s="15" customFormat="1" ht="12.75" customHeight="1" x14ac:dyDescent="0.2">
      <c r="E2254" s="27"/>
      <c r="F2254" s="27"/>
      <c r="G2254" s="141"/>
      <c r="H2254" s="141"/>
      <c r="I2254" s="551"/>
      <c r="J2254" s="552"/>
      <c r="K2254" s="33"/>
      <c r="L2254" s="145"/>
    </row>
    <row r="2255" spans="5:12" s="15" customFormat="1" ht="12.75" customHeight="1" x14ac:dyDescent="0.2">
      <c r="E2255" s="27"/>
      <c r="F2255" s="27"/>
      <c r="G2255" s="141"/>
      <c r="H2255" s="141"/>
      <c r="I2255" s="551"/>
      <c r="J2255" s="552"/>
      <c r="K2255" s="33"/>
      <c r="L2255" s="145"/>
    </row>
    <row r="2256" spans="5:12" s="15" customFormat="1" ht="12.75" customHeight="1" x14ac:dyDescent="0.2">
      <c r="E2256" s="27"/>
      <c r="F2256" s="27"/>
      <c r="G2256" s="141"/>
      <c r="H2256" s="141"/>
      <c r="I2256" s="551"/>
      <c r="J2256" s="552"/>
      <c r="K2256" s="33"/>
      <c r="L2256" s="145"/>
    </row>
    <row r="2257" spans="5:12" s="15" customFormat="1" ht="12.75" customHeight="1" x14ac:dyDescent="0.2">
      <c r="E2257" s="27"/>
      <c r="F2257" s="27"/>
      <c r="G2257" s="141"/>
      <c r="H2257" s="141"/>
      <c r="I2257" s="551"/>
      <c r="J2257" s="552"/>
      <c r="K2257" s="33"/>
      <c r="L2257" s="145"/>
    </row>
    <row r="2258" spans="5:12" s="15" customFormat="1" ht="12.75" customHeight="1" x14ac:dyDescent="0.2">
      <c r="E2258" s="27"/>
      <c r="F2258" s="27"/>
      <c r="G2258" s="141"/>
      <c r="H2258" s="141"/>
      <c r="I2258" s="551"/>
      <c r="J2258" s="552"/>
      <c r="K2258" s="33"/>
      <c r="L2258" s="145"/>
    </row>
    <row r="2259" spans="5:12" s="15" customFormat="1" ht="12.75" customHeight="1" x14ac:dyDescent="0.2">
      <c r="E2259" s="27"/>
      <c r="F2259" s="27"/>
      <c r="G2259" s="141"/>
      <c r="H2259" s="141"/>
      <c r="I2259" s="551"/>
      <c r="J2259" s="552"/>
      <c r="K2259" s="33"/>
      <c r="L2259" s="145"/>
    </row>
    <row r="2260" spans="5:12" s="15" customFormat="1" ht="12.75" customHeight="1" x14ac:dyDescent="0.2">
      <c r="E2260" s="27"/>
      <c r="F2260" s="27"/>
      <c r="G2260" s="141"/>
      <c r="H2260" s="141"/>
      <c r="I2260" s="551"/>
      <c r="J2260" s="552"/>
      <c r="K2260" s="33"/>
      <c r="L2260" s="145"/>
    </row>
    <row r="2261" spans="5:12" s="15" customFormat="1" ht="12.75" customHeight="1" x14ac:dyDescent="0.2">
      <c r="E2261" s="27"/>
      <c r="F2261" s="27"/>
      <c r="G2261" s="141"/>
      <c r="H2261" s="141"/>
      <c r="I2261" s="551"/>
      <c r="J2261" s="552"/>
      <c r="K2261" s="33"/>
      <c r="L2261" s="145"/>
    </row>
    <row r="2262" spans="5:12" s="15" customFormat="1" ht="12.75" customHeight="1" x14ac:dyDescent="0.2">
      <c r="E2262" s="27"/>
      <c r="F2262" s="27"/>
      <c r="G2262" s="141"/>
      <c r="H2262" s="141"/>
      <c r="I2262" s="551"/>
      <c r="J2262" s="552"/>
      <c r="K2262" s="33"/>
      <c r="L2262" s="145"/>
    </row>
    <row r="2263" spans="5:12" s="15" customFormat="1" ht="12.75" customHeight="1" x14ac:dyDescent="0.2">
      <c r="E2263" s="27"/>
      <c r="F2263" s="27"/>
      <c r="G2263" s="141"/>
      <c r="H2263" s="141"/>
      <c r="I2263" s="551"/>
      <c r="J2263" s="552"/>
      <c r="K2263" s="33"/>
      <c r="L2263" s="145"/>
    </row>
    <row r="2264" spans="5:12" s="15" customFormat="1" ht="12.75" customHeight="1" x14ac:dyDescent="0.2">
      <c r="E2264" s="27"/>
      <c r="F2264" s="27"/>
      <c r="G2264" s="141"/>
      <c r="H2264" s="141"/>
      <c r="I2264" s="551"/>
      <c r="J2264" s="552"/>
      <c r="K2264" s="33"/>
      <c r="L2264" s="145"/>
    </row>
    <row r="2265" spans="5:12" s="15" customFormat="1" ht="12.75" customHeight="1" x14ac:dyDescent="0.2">
      <c r="E2265" s="27"/>
      <c r="F2265" s="27"/>
      <c r="G2265" s="141"/>
      <c r="H2265" s="141"/>
      <c r="I2265" s="551"/>
      <c r="J2265" s="552"/>
      <c r="K2265" s="33"/>
      <c r="L2265" s="145"/>
    </row>
    <row r="2266" spans="5:12" s="15" customFormat="1" ht="12.75" customHeight="1" x14ac:dyDescent="0.2">
      <c r="E2266" s="27"/>
      <c r="F2266" s="27"/>
      <c r="G2266" s="141"/>
      <c r="H2266" s="141"/>
      <c r="I2266" s="551"/>
      <c r="J2266" s="552"/>
      <c r="K2266" s="33"/>
      <c r="L2266" s="145"/>
    </row>
    <row r="2267" spans="5:12" s="15" customFormat="1" ht="12.75" customHeight="1" x14ac:dyDescent="0.2">
      <c r="E2267" s="27"/>
      <c r="F2267" s="27"/>
      <c r="G2267" s="141"/>
      <c r="H2267" s="141"/>
      <c r="I2267" s="551"/>
      <c r="J2267" s="552"/>
      <c r="K2267" s="33"/>
      <c r="L2267" s="145"/>
    </row>
    <row r="2268" spans="5:12" s="15" customFormat="1" ht="12.75" customHeight="1" x14ac:dyDescent="0.2">
      <c r="E2268" s="27"/>
      <c r="F2268" s="27"/>
      <c r="G2268" s="141"/>
      <c r="H2268" s="141"/>
      <c r="I2268" s="551"/>
      <c r="J2268" s="552"/>
      <c r="K2268" s="33"/>
      <c r="L2268" s="145"/>
    </row>
    <row r="2269" spans="5:12" s="15" customFormat="1" ht="12.75" customHeight="1" x14ac:dyDescent="0.2">
      <c r="E2269" s="27"/>
      <c r="F2269" s="27"/>
      <c r="G2269" s="141"/>
      <c r="H2269" s="141"/>
      <c r="I2269" s="551"/>
      <c r="J2269" s="552"/>
      <c r="K2269" s="33"/>
      <c r="L2269" s="145"/>
    </row>
    <row r="2270" spans="5:12" s="15" customFormat="1" ht="12.75" customHeight="1" x14ac:dyDescent="0.2">
      <c r="E2270" s="27"/>
      <c r="F2270" s="27"/>
      <c r="G2270" s="141"/>
      <c r="H2270" s="141"/>
      <c r="I2270" s="551"/>
      <c r="J2270" s="552"/>
      <c r="K2270" s="33"/>
      <c r="L2270" s="145"/>
    </row>
    <row r="2271" spans="5:12" s="15" customFormat="1" ht="12.75" customHeight="1" x14ac:dyDescent="0.2">
      <c r="E2271" s="27"/>
      <c r="F2271" s="27"/>
      <c r="G2271" s="141"/>
      <c r="H2271" s="141"/>
      <c r="I2271" s="551"/>
      <c r="J2271" s="552"/>
      <c r="K2271" s="33"/>
      <c r="L2271" s="145"/>
    </row>
    <row r="2272" spans="5:12" s="15" customFormat="1" ht="12.75" customHeight="1" x14ac:dyDescent="0.2">
      <c r="E2272" s="27"/>
      <c r="F2272" s="27"/>
      <c r="G2272" s="141"/>
      <c r="H2272" s="141"/>
      <c r="I2272" s="551"/>
      <c r="J2272" s="552"/>
      <c r="K2272" s="33"/>
      <c r="L2272" s="145"/>
    </row>
    <row r="2273" spans="5:12" s="15" customFormat="1" ht="12.75" customHeight="1" x14ac:dyDescent="0.2">
      <c r="E2273" s="27"/>
      <c r="F2273" s="27"/>
      <c r="G2273" s="141"/>
      <c r="H2273" s="141"/>
      <c r="I2273" s="551"/>
      <c r="J2273" s="552"/>
      <c r="K2273" s="33"/>
      <c r="L2273" s="145"/>
    </row>
    <row r="2274" spans="5:12" s="15" customFormat="1" ht="12.75" customHeight="1" x14ac:dyDescent="0.2">
      <c r="E2274" s="27"/>
      <c r="F2274" s="27"/>
      <c r="G2274" s="141"/>
      <c r="H2274" s="141"/>
      <c r="I2274" s="551"/>
      <c r="J2274" s="552"/>
      <c r="K2274" s="33"/>
      <c r="L2274" s="145"/>
    </row>
    <row r="2275" spans="5:12" s="15" customFormat="1" ht="12.75" customHeight="1" x14ac:dyDescent="0.2">
      <c r="E2275" s="27"/>
      <c r="F2275" s="27"/>
      <c r="G2275" s="141"/>
      <c r="H2275" s="141"/>
      <c r="I2275" s="551"/>
      <c r="J2275" s="552"/>
      <c r="K2275" s="33"/>
      <c r="L2275" s="145"/>
    </row>
    <row r="2276" spans="5:12" s="15" customFormat="1" ht="12.75" customHeight="1" x14ac:dyDescent="0.2">
      <c r="E2276" s="27"/>
      <c r="F2276" s="27"/>
      <c r="G2276" s="141"/>
      <c r="H2276" s="141"/>
      <c r="I2276" s="551"/>
      <c r="J2276" s="552"/>
      <c r="K2276" s="33"/>
      <c r="L2276" s="145"/>
    </row>
    <row r="2277" spans="5:12" s="15" customFormat="1" ht="12.75" customHeight="1" x14ac:dyDescent="0.2">
      <c r="E2277" s="27"/>
      <c r="F2277" s="27"/>
      <c r="G2277" s="141"/>
      <c r="H2277" s="141"/>
      <c r="I2277" s="551"/>
      <c r="J2277" s="552"/>
      <c r="K2277" s="33"/>
      <c r="L2277" s="145"/>
    </row>
    <row r="2278" spans="5:12" s="15" customFormat="1" ht="12.75" customHeight="1" x14ac:dyDescent="0.2">
      <c r="E2278" s="27"/>
      <c r="F2278" s="27"/>
      <c r="G2278" s="141"/>
      <c r="H2278" s="141"/>
      <c r="I2278" s="551"/>
      <c r="J2278" s="552"/>
      <c r="K2278" s="33"/>
      <c r="L2278" s="145"/>
    </row>
    <row r="2279" spans="5:12" s="15" customFormat="1" ht="12.75" customHeight="1" x14ac:dyDescent="0.2">
      <c r="E2279" s="27"/>
      <c r="F2279" s="27"/>
      <c r="G2279" s="141"/>
      <c r="H2279" s="141"/>
      <c r="I2279" s="551"/>
      <c r="J2279" s="552"/>
      <c r="K2279" s="33"/>
      <c r="L2279" s="145"/>
    </row>
    <row r="2280" spans="5:12" s="15" customFormat="1" ht="12.75" customHeight="1" x14ac:dyDescent="0.2">
      <c r="E2280" s="27"/>
      <c r="F2280" s="27"/>
      <c r="G2280" s="141"/>
      <c r="H2280" s="141"/>
      <c r="I2280" s="551"/>
      <c r="J2280" s="552"/>
      <c r="K2280" s="33"/>
      <c r="L2280" s="145"/>
    </row>
    <row r="2281" spans="5:12" s="15" customFormat="1" ht="12.75" customHeight="1" x14ac:dyDescent="0.2">
      <c r="E2281" s="27"/>
      <c r="F2281" s="27"/>
      <c r="G2281" s="141"/>
      <c r="H2281" s="141"/>
      <c r="I2281" s="551"/>
      <c r="J2281" s="552"/>
      <c r="K2281" s="33"/>
      <c r="L2281" s="145"/>
    </row>
    <row r="2282" spans="5:12" s="15" customFormat="1" ht="12.75" customHeight="1" x14ac:dyDescent="0.2">
      <c r="E2282" s="27"/>
      <c r="F2282" s="27"/>
      <c r="G2282" s="141"/>
      <c r="H2282" s="141"/>
      <c r="I2282" s="551"/>
      <c r="J2282" s="552"/>
      <c r="K2282" s="33"/>
      <c r="L2282" s="145"/>
    </row>
    <row r="2283" spans="5:12" s="15" customFormat="1" ht="12.75" customHeight="1" x14ac:dyDescent="0.2">
      <c r="E2283" s="27"/>
      <c r="F2283" s="27"/>
      <c r="G2283" s="141"/>
      <c r="H2283" s="141"/>
      <c r="I2283" s="551"/>
      <c r="J2283" s="552"/>
      <c r="K2283" s="33"/>
      <c r="L2283" s="145"/>
    </row>
    <row r="2284" spans="5:12" s="15" customFormat="1" ht="12.75" customHeight="1" x14ac:dyDescent="0.2">
      <c r="E2284" s="27"/>
      <c r="F2284" s="27"/>
      <c r="G2284" s="141"/>
      <c r="H2284" s="141"/>
      <c r="I2284" s="551"/>
      <c r="J2284" s="552"/>
      <c r="K2284" s="33"/>
      <c r="L2284" s="145"/>
    </row>
    <row r="2285" spans="5:12" s="15" customFormat="1" ht="12.75" customHeight="1" x14ac:dyDescent="0.2">
      <c r="E2285" s="27"/>
      <c r="F2285" s="27"/>
      <c r="G2285" s="141"/>
      <c r="H2285" s="141"/>
      <c r="I2285" s="551"/>
      <c r="J2285" s="552"/>
      <c r="K2285" s="33"/>
      <c r="L2285" s="145"/>
    </row>
    <row r="2286" spans="5:12" s="15" customFormat="1" ht="12.75" customHeight="1" x14ac:dyDescent="0.2">
      <c r="E2286" s="27"/>
      <c r="F2286" s="27"/>
      <c r="G2286" s="141"/>
      <c r="H2286" s="141"/>
      <c r="I2286" s="551"/>
      <c r="J2286" s="552"/>
      <c r="K2286" s="33"/>
      <c r="L2286" s="145"/>
    </row>
    <row r="2287" spans="5:12" s="15" customFormat="1" ht="12.75" customHeight="1" x14ac:dyDescent="0.2">
      <c r="E2287" s="27"/>
      <c r="F2287" s="27"/>
      <c r="G2287" s="141"/>
      <c r="H2287" s="141"/>
      <c r="I2287" s="551"/>
      <c r="J2287" s="552"/>
      <c r="K2287" s="33"/>
      <c r="L2287" s="145"/>
    </row>
    <row r="2288" spans="5:12" s="15" customFormat="1" ht="12.75" customHeight="1" x14ac:dyDescent="0.2">
      <c r="E2288" s="27"/>
      <c r="F2288" s="27"/>
      <c r="G2288" s="141"/>
      <c r="H2288" s="141"/>
      <c r="I2288" s="551"/>
      <c r="J2288" s="552"/>
      <c r="K2288" s="33"/>
      <c r="L2288" s="145"/>
    </row>
    <row r="2289" spans="5:12" s="15" customFormat="1" ht="12.75" customHeight="1" x14ac:dyDescent="0.2">
      <c r="E2289" s="27"/>
      <c r="F2289" s="27"/>
      <c r="G2289" s="141"/>
      <c r="H2289" s="141"/>
      <c r="I2289" s="551"/>
      <c r="J2289" s="552"/>
      <c r="K2289" s="33"/>
      <c r="L2289" s="145"/>
    </row>
    <row r="2290" spans="5:12" s="15" customFormat="1" ht="12.75" customHeight="1" x14ac:dyDescent="0.2">
      <c r="E2290" s="27"/>
      <c r="F2290" s="27"/>
      <c r="G2290" s="141"/>
      <c r="H2290" s="141"/>
      <c r="I2290" s="551"/>
      <c r="J2290" s="552"/>
      <c r="K2290" s="33"/>
      <c r="L2290" s="145"/>
    </row>
    <row r="2291" spans="5:12" s="15" customFormat="1" ht="12.75" customHeight="1" x14ac:dyDescent="0.2">
      <c r="E2291" s="27"/>
      <c r="F2291" s="27"/>
      <c r="G2291" s="141"/>
      <c r="H2291" s="141"/>
      <c r="I2291" s="551"/>
      <c r="J2291" s="552"/>
      <c r="K2291" s="33"/>
      <c r="L2291" s="145"/>
    </row>
    <row r="2292" spans="5:12" s="15" customFormat="1" ht="12.75" customHeight="1" x14ac:dyDescent="0.2">
      <c r="E2292" s="27"/>
      <c r="F2292" s="27"/>
      <c r="G2292" s="141"/>
      <c r="H2292" s="141"/>
      <c r="I2292" s="551"/>
      <c r="J2292" s="552"/>
      <c r="K2292" s="33"/>
      <c r="L2292" s="145"/>
    </row>
    <row r="2293" spans="5:12" s="15" customFormat="1" ht="12.75" customHeight="1" x14ac:dyDescent="0.2">
      <c r="E2293" s="27"/>
      <c r="F2293" s="27"/>
      <c r="G2293" s="141"/>
      <c r="H2293" s="141"/>
      <c r="I2293" s="551"/>
      <c r="J2293" s="552"/>
      <c r="K2293" s="33"/>
      <c r="L2293" s="145"/>
    </row>
    <row r="2294" spans="5:12" s="15" customFormat="1" ht="12.75" customHeight="1" x14ac:dyDescent="0.2">
      <c r="E2294" s="27"/>
      <c r="F2294" s="27"/>
      <c r="G2294" s="141"/>
      <c r="H2294" s="141"/>
      <c r="I2294" s="551"/>
      <c r="J2294" s="552"/>
      <c r="K2294" s="33"/>
      <c r="L2294" s="145"/>
    </row>
    <row r="2295" spans="5:12" s="15" customFormat="1" ht="12.75" customHeight="1" x14ac:dyDescent="0.2">
      <c r="E2295" s="27"/>
      <c r="F2295" s="27"/>
      <c r="G2295" s="141"/>
      <c r="H2295" s="141"/>
      <c r="I2295" s="551"/>
      <c r="J2295" s="552"/>
      <c r="K2295" s="33"/>
      <c r="L2295" s="145"/>
    </row>
    <row r="2296" spans="5:12" s="15" customFormat="1" ht="12.75" customHeight="1" x14ac:dyDescent="0.2">
      <c r="E2296" s="27"/>
      <c r="F2296" s="27"/>
      <c r="G2296" s="141"/>
      <c r="H2296" s="141"/>
      <c r="I2296" s="551"/>
      <c r="J2296" s="552"/>
      <c r="K2296" s="33"/>
      <c r="L2296" s="145"/>
    </row>
    <row r="2297" spans="5:12" s="15" customFormat="1" ht="12.75" customHeight="1" x14ac:dyDescent="0.2">
      <c r="E2297" s="27"/>
      <c r="F2297" s="27"/>
      <c r="G2297" s="141"/>
      <c r="H2297" s="141"/>
      <c r="I2297" s="551"/>
      <c r="J2297" s="552"/>
      <c r="K2297" s="33"/>
      <c r="L2297" s="145"/>
    </row>
    <row r="2298" spans="5:12" s="15" customFormat="1" ht="12.75" customHeight="1" x14ac:dyDescent="0.2">
      <c r="E2298" s="27"/>
      <c r="F2298" s="27"/>
      <c r="G2298" s="141"/>
      <c r="H2298" s="141"/>
      <c r="I2298" s="551"/>
      <c r="J2298" s="552"/>
      <c r="K2298" s="33"/>
      <c r="L2298" s="145"/>
    </row>
    <row r="2299" spans="5:12" s="15" customFormat="1" ht="12.75" customHeight="1" x14ac:dyDescent="0.2">
      <c r="E2299" s="27"/>
      <c r="F2299" s="27"/>
      <c r="G2299" s="141"/>
      <c r="H2299" s="141"/>
      <c r="I2299" s="551"/>
      <c r="J2299" s="552"/>
      <c r="K2299" s="33"/>
      <c r="L2299" s="145"/>
    </row>
    <row r="2300" spans="5:12" s="15" customFormat="1" ht="12.75" customHeight="1" x14ac:dyDescent="0.2">
      <c r="E2300" s="27"/>
      <c r="F2300" s="27"/>
      <c r="G2300" s="141"/>
      <c r="H2300" s="141"/>
      <c r="I2300" s="551"/>
      <c r="J2300" s="552"/>
      <c r="K2300" s="33"/>
      <c r="L2300" s="145"/>
    </row>
    <row r="2301" spans="5:12" s="15" customFormat="1" ht="12.75" customHeight="1" x14ac:dyDescent="0.2">
      <c r="E2301" s="27"/>
      <c r="F2301" s="27"/>
      <c r="G2301" s="141"/>
      <c r="H2301" s="141"/>
      <c r="I2301" s="551"/>
      <c r="J2301" s="552"/>
      <c r="K2301" s="33"/>
      <c r="L2301" s="145"/>
    </row>
    <row r="2302" spans="5:12" s="15" customFormat="1" ht="12.75" customHeight="1" x14ac:dyDescent="0.2">
      <c r="E2302" s="27"/>
      <c r="F2302" s="27"/>
      <c r="G2302" s="141"/>
      <c r="H2302" s="141"/>
      <c r="I2302" s="551"/>
      <c r="J2302" s="552"/>
      <c r="K2302" s="33"/>
      <c r="L2302" s="145"/>
    </row>
    <row r="2303" spans="5:12" s="15" customFormat="1" ht="12.75" customHeight="1" x14ac:dyDescent="0.2">
      <c r="E2303" s="27"/>
      <c r="F2303" s="27"/>
      <c r="G2303" s="141"/>
      <c r="H2303" s="141"/>
      <c r="I2303" s="551"/>
      <c r="J2303" s="552"/>
      <c r="K2303" s="33"/>
      <c r="L2303" s="145"/>
    </row>
    <row r="2304" spans="5:12" s="15" customFormat="1" ht="12.75" customHeight="1" x14ac:dyDescent="0.2">
      <c r="E2304" s="27"/>
      <c r="F2304" s="27"/>
      <c r="G2304" s="141"/>
      <c r="H2304" s="141"/>
      <c r="I2304" s="551"/>
      <c r="J2304" s="552"/>
      <c r="K2304" s="33"/>
      <c r="L2304" s="145"/>
    </row>
    <row r="2305" spans="5:12" s="15" customFormat="1" ht="12.75" customHeight="1" x14ac:dyDescent="0.2">
      <c r="E2305" s="27"/>
      <c r="F2305" s="27"/>
      <c r="G2305" s="141"/>
      <c r="H2305" s="141"/>
      <c r="I2305" s="551"/>
      <c r="J2305" s="552"/>
      <c r="K2305" s="33"/>
      <c r="L2305" s="145"/>
    </row>
    <row r="2306" spans="5:12" s="15" customFormat="1" ht="12.75" customHeight="1" x14ac:dyDescent="0.2">
      <c r="E2306" s="27"/>
      <c r="F2306" s="27"/>
      <c r="G2306" s="141"/>
      <c r="H2306" s="141"/>
      <c r="I2306" s="551"/>
      <c r="J2306" s="552"/>
      <c r="K2306" s="33"/>
      <c r="L2306" s="145"/>
    </row>
    <row r="2307" spans="5:12" s="15" customFormat="1" ht="12.75" customHeight="1" x14ac:dyDescent="0.2">
      <c r="E2307" s="27"/>
      <c r="F2307" s="27"/>
      <c r="G2307" s="141"/>
      <c r="H2307" s="141"/>
      <c r="I2307" s="551"/>
      <c r="J2307" s="552"/>
      <c r="K2307" s="33"/>
      <c r="L2307" s="145"/>
    </row>
    <row r="2308" spans="5:12" s="15" customFormat="1" ht="12.75" customHeight="1" x14ac:dyDescent="0.2">
      <c r="E2308" s="27"/>
      <c r="F2308" s="27"/>
      <c r="G2308" s="141"/>
      <c r="H2308" s="141"/>
      <c r="I2308" s="551"/>
      <c r="J2308" s="552"/>
      <c r="K2308" s="33"/>
      <c r="L2308" s="145"/>
    </row>
    <row r="2309" spans="5:12" s="15" customFormat="1" ht="12.75" customHeight="1" x14ac:dyDescent="0.2">
      <c r="E2309" s="27"/>
      <c r="F2309" s="27"/>
      <c r="G2309" s="141"/>
      <c r="H2309" s="141"/>
      <c r="I2309" s="551"/>
      <c r="J2309" s="552"/>
      <c r="K2309" s="33"/>
      <c r="L2309" s="145"/>
    </row>
    <row r="2310" spans="5:12" s="15" customFormat="1" ht="12.75" customHeight="1" x14ac:dyDescent="0.2">
      <c r="E2310" s="27"/>
      <c r="F2310" s="27"/>
      <c r="G2310" s="141"/>
      <c r="H2310" s="141"/>
      <c r="I2310" s="551"/>
      <c r="J2310" s="552"/>
      <c r="K2310" s="33"/>
      <c r="L2310" s="145"/>
    </row>
    <row r="2311" spans="5:12" s="15" customFormat="1" ht="12.75" customHeight="1" x14ac:dyDescent="0.2">
      <c r="E2311" s="27"/>
      <c r="F2311" s="27"/>
      <c r="G2311" s="141"/>
      <c r="H2311" s="141"/>
      <c r="I2311" s="551"/>
      <c r="J2311" s="552"/>
      <c r="K2311" s="33"/>
      <c r="L2311" s="145"/>
    </row>
  </sheetData>
  <autoFilter ref="A6:L6"/>
  <mergeCells count="9">
    <mergeCell ref="C1:K1"/>
    <mergeCell ref="A2:L2"/>
    <mergeCell ref="A3:A4"/>
    <mergeCell ref="C3:D4"/>
    <mergeCell ref="E3:E4"/>
    <mergeCell ref="F3:F4"/>
    <mergeCell ref="G3:G4"/>
    <mergeCell ref="K3:K4"/>
    <mergeCell ref="L3:L4"/>
  </mergeCells>
  <pageMargins left="0.23622047244094491" right="0.23622047244094491" top="0.35433070866141736" bottom="0.51181102362204722" header="0.15748031496062992" footer="0.51181102362204722"/>
  <pageSetup paperSize="9" fitToWidth="0" fitToHeight="0" orientation="portrait" verticalDpi="0" r:id="rId1"/>
  <headerFooter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567"/>
  <sheetViews>
    <sheetView topLeftCell="A985" zoomScaleNormal="100" workbookViewId="0">
      <selection activeCell="M999" sqref="M999"/>
    </sheetView>
  </sheetViews>
  <sheetFormatPr defaultColWidth="6.85546875" defaultRowHeight="20.25" customHeight="1" x14ac:dyDescent="0.2"/>
  <cols>
    <col min="1" max="1" width="4.7109375" style="14" customWidth="1"/>
    <col min="2" max="2" width="14.28515625" style="13" hidden="1" customWidth="1"/>
    <col min="3" max="3" width="14.5703125" style="27" customWidth="1"/>
    <col min="4" max="4" width="13.7109375" style="15" customWidth="1"/>
    <col min="5" max="6" width="5.28515625" style="19" customWidth="1"/>
    <col min="7" max="7" width="8.85546875" style="143" customWidth="1"/>
    <col min="8" max="8" width="10.85546875" style="143" customWidth="1"/>
    <col min="9" max="9" width="10.140625" style="285" customWidth="1"/>
    <col min="10" max="10" width="9.7109375" style="508" customWidth="1"/>
    <col min="11" max="11" width="10.5703125" style="31" customWidth="1"/>
    <col min="12" max="12" width="8" style="72" customWidth="1"/>
    <col min="13" max="13" width="48.28515625" style="13" customWidth="1"/>
    <col min="14" max="14" width="18.5703125" style="13" customWidth="1"/>
    <col min="15" max="15" width="15.5703125" style="13" customWidth="1"/>
    <col min="16" max="16" width="13.5703125" style="13" customWidth="1"/>
    <col min="17" max="17" width="8.85546875" style="13" customWidth="1"/>
    <col min="18" max="16384" width="6.85546875" style="13"/>
  </cols>
  <sheetData>
    <row r="1" spans="1:12" ht="20.25" customHeight="1" x14ac:dyDescent="0.2">
      <c r="A1" s="598" t="s">
        <v>5004</v>
      </c>
      <c r="B1" s="598"/>
      <c r="C1" s="598"/>
      <c r="D1" s="598"/>
      <c r="E1" s="598"/>
      <c r="F1" s="598"/>
      <c r="G1" s="598"/>
      <c r="H1" s="598"/>
      <c r="I1" s="598"/>
      <c r="J1" s="599"/>
      <c r="K1" s="598"/>
      <c r="L1" s="598"/>
    </row>
    <row r="2" spans="1:12" ht="20.25" customHeight="1" thickBot="1" x14ac:dyDescent="0.25">
      <c r="A2" s="596" t="s">
        <v>5003</v>
      </c>
      <c r="B2" s="596"/>
      <c r="C2" s="596"/>
      <c r="D2" s="596"/>
      <c r="E2" s="596"/>
      <c r="F2" s="596"/>
      <c r="G2" s="596"/>
      <c r="H2" s="596"/>
      <c r="I2" s="596"/>
      <c r="J2" s="597"/>
      <c r="K2" s="596"/>
      <c r="L2" s="596"/>
    </row>
    <row r="3" spans="1:12" ht="77.25" customHeight="1" thickBot="1" x14ac:dyDescent="0.25">
      <c r="A3" s="576" t="s">
        <v>5011</v>
      </c>
      <c r="B3" s="107" t="s">
        <v>0</v>
      </c>
      <c r="C3" s="578" t="s">
        <v>1</v>
      </c>
      <c r="D3" s="579"/>
      <c r="E3" s="582" t="s">
        <v>2</v>
      </c>
      <c r="F3" s="584" t="s">
        <v>3</v>
      </c>
      <c r="G3" s="586" t="s">
        <v>5724</v>
      </c>
      <c r="H3" s="447" t="s">
        <v>5723</v>
      </c>
      <c r="I3" s="446" t="s">
        <v>5726</v>
      </c>
      <c r="J3" s="484" t="s">
        <v>5725</v>
      </c>
      <c r="K3" s="588" t="s">
        <v>4</v>
      </c>
      <c r="L3" s="590" t="s">
        <v>5722</v>
      </c>
    </row>
    <row r="4" spans="1:12" ht="20.25" customHeight="1" thickBot="1" x14ac:dyDescent="0.25">
      <c r="A4" s="577"/>
      <c r="B4" s="279"/>
      <c r="C4" s="580"/>
      <c r="D4" s="581"/>
      <c r="E4" s="583"/>
      <c r="F4" s="585"/>
      <c r="G4" s="587"/>
      <c r="H4" s="448">
        <v>500</v>
      </c>
      <c r="I4" s="449">
        <v>1000</v>
      </c>
      <c r="J4" s="485">
        <v>1500</v>
      </c>
      <c r="K4" s="600"/>
      <c r="L4" s="591"/>
    </row>
    <row r="5" spans="1:12" ht="20.25" customHeight="1" x14ac:dyDescent="0.2">
      <c r="A5" s="165">
        <v>1</v>
      </c>
      <c r="B5" s="166" t="s">
        <v>2138</v>
      </c>
      <c r="C5" s="241" t="s">
        <v>2139</v>
      </c>
      <c r="D5" s="168" t="s">
        <v>2140</v>
      </c>
      <c r="E5" s="169" t="s">
        <v>2141</v>
      </c>
      <c r="F5" s="167" t="s">
        <v>8</v>
      </c>
      <c r="G5" s="170">
        <v>100</v>
      </c>
      <c r="H5" s="246">
        <f t="shared" ref="H5:H67" si="0">500-G5</f>
        <v>400</v>
      </c>
      <c r="I5" s="293">
        <f>(680+830)/4</f>
        <v>377.5</v>
      </c>
      <c r="J5" s="486">
        <f t="shared" ref="J5:J10" si="1">SUM(H5:I5)</f>
        <v>777.5</v>
      </c>
      <c r="K5" s="321" t="s">
        <v>4996</v>
      </c>
      <c r="L5" s="322">
        <v>6280</v>
      </c>
    </row>
    <row r="6" spans="1:12" ht="20.25" customHeight="1" x14ac:dyDescent="0.2">
      <c r="A6" s="114">
        <v>2</v>
      </c>
      <c r="B6" s="1" t="s">
        <v>2142</v>
      </c>
      <c r="C6" s="6" t="s">
        <v>2143</v>
      </c>
      <c r="D6" s="7" t="s">
        <v>2144</v>
      </c>
      <c r="E6" s="2" t="s">
        <v>2141</v>
      </c>
      <c r="F6" s="99" t="s">
        <v>11</v>
      </c>
      <c r="G6" s="121">
        <v>150</v>
      </c>
      <c r="H6" s="122">
        <f t="shared" si="0"/>
        <v>350</v>
      </c>
      <c r="I6" s="450">
        <f>(680+830)/4</f>
        <v>377.5</v>
      </c>
      <c r="J6" s="487">
        <f t="shared" si="1"/>
        <v>727.5</v>
      </c>
      <c r="K6" s="323"/>
      <c r="L6" s="324"/>
    </row>
    <row r="7" spans="1:12" ht="20.25" customHeight="1" x14ac:dyDescent="0.2">
      <c r="A7" s="114">
        <v>3</v>
      </c>
      <c r="B7" s="1" t="s">
        <v>2145</v>
      </c>
      <c r="C7" s="6" t="s">
        <v>2146</v>
      </c>
      <c r="D7" s="7" t="s">
        <v>2147</v>
      </c>
      <c r="E7" s="2" t="s">
        <v>2141</v>
      </c>
      <c r="F7" s="99" t="s">
        <v>14</v>
      </c>
      <c r="G7" s="121">
        <v>100</v>
      </c>
      <c r="H7" s="122">
        <f t="shared" si="0"/>
        <v>400</v>
      </c>
      <c r="I7" s="450">
        <f>(680+830)/4</f>
        <v>377.5</v>
      </c>
      <c r="J7" s="487">
        <f t="shared" si="1"/>
        <v>777.5</v>
      </c>
      <c r="K7" s="323"/>
      <c r="L7" s="324"/>
    </row>
    <row r="8" spans="1:12" ht="20.25" customHeight="1" thickBot="1" x14ac:dyDescent="0.25">
      <c r="A8" s="158">
        <v>4</v>
      </c>
      <c r="B8" s="159" t="s">
        <v>2148</v>
      </c>
      <c r="C8" s="160" t="s">
        <v>2149</v>
      </c>
      <c r="D8" s="161" t="s">
        <v>2150</v>
      </c>
      <c r="E8" s="162" t="s">
        <v>2141</v>
      </c>
      <c r="F8" s="163" t="s">
        <v>17</v>
      </c>
      <c r="G8" s="164">
        <v>150</v>
      </c>
      <c r="H8" s="153">
        <f t="shared" si="0"/>
        <v>350</v>
      </c>
      <c r="I8" s="451">
        <f>(680+830)/4</f>
        <v>377.5</v>
      </c>
      <c r="J8" s="487">
        <f t="shared" si="1"/>
        <v>727.5</v>
      </c>
      <c r="K8" s="325"/>
      <c r="L8" s="326"/>
    </row>
    <row r="9" spans="1:12" ht="20.25" customHeight="1" x14ac:dyDescent="0.2">
      <c r="A9" s="108">
        <v>5</v>
      </c>
      <c r="B9" s="171" t="s">
        <v>2151</v>
      </c>
      <c r="C9" s="110" t="s">
        <v>2152</v>
      </c>
      <c r="D9" s="111" t="s">
        <v>37</v>
      </c>
      <c r="E9" s="112" t="s">
        <v>2153</v>
      </c>
      <c r="F9" s="113" t="s">
        <v>8</v>
      </c>
      <c r="G9" s="119">
        <v>100</v>
      </c>
      <c r="H9" s="120">
        <f t="shared" si="0"/>
        <v>400</v>
      </c>
      <c r="I9" s="452">
        <f>(125+610)/4</f>
        <v>183.75</v>
      </c>
      <c r="J9" s="488">
        <f t="shared" si="1"/>
        <v>583.75</v>
      </c>
      <c r="K9" s="327"/>
      <c r="L9" s="328"/>
    </row>
    <row r="10" spans="1:12" ht="20.25" customHeight="1" x14ac:dyDescent="0.2">
      <c r="A10" s="114">
        <v>6</v>
      </c>
      <c r="B10" s="1" t="s">
        <v>2154</v>
      </c>
      <c r="C10" s="6" t="s">
        <v>2155</v>
      </c>
      <c r="D10" s="7" t="s">
        <v>2156</v>
      </c>
      <c r="E10" s="2" t="s">
        <v>2153</v>
      </c>
      <c r="F10" s="99" t="s">
        <v>11</v>
      </c>
      <c r="G10" s="121">
        <v>100</v>
      </c>
      <c r="H10" s="122">
        <f t="shared" si="0"/>
        <v>400</v>
      </c>
      <c r="I10" s="450">
        <f>(125+610)/4</f>
        <v>183.75</v>
      </c>
      <c r="J10" s="487">
        <f t="shared" si="1"/>
        <v>583.75</v>
      </c>
      <c r="K10" s="323"/>
      <c r="L10" s="324"/>
    </row>
    <row r="11" spans="1:12" ht="20.25" customHeight="1" x14ac:dyDescent="0.2">
      <c r="A11" s="114">
        <v>7</v>
      </c>
      <c r="B11" s="1" t="s">
        <v>2157</v>
      </c>
      <c r="C11" s="6" t="s">
        <v>2158</v>
      </c>
      <c r="D11" s="7" t="s">
        <v>2159</v>
      </c>
      <c r="E11" s="2" t="s">
        <v>2153</v>
      </c>
      <c r="F11" s="99" t="s">
        <v>14</v>
      </c>
      <c r="G11" s="121">
        <v>100</v>
      </c>
      <c r="H11" s="122">
        <f t="shared" si="0"/>
        <v>400</v>
      </c>
      <c r="I11" s="450">
        <f>(125+610)/4</f>
        <v>183.75</v>
      </c>
      <c r="J11" s="487">
        <f>SUM(G11:I11)</f>
        <v>683.75</v>
      </c>
      <c r="K11" s="323"/>
      <c r="L11" s="324"/>
    </row>
    <row r="12" spans="1:12" ht="20.25" customHeight="1" thickBot="1" x14ac:dyDescent="0.25">
      <c r="A12" s="158">
        <v>8</v>
      </c>
      <c r="B12" s="159" t="s">
        <v>2160</v>
      </c>
      <c r="C12" s="160" t="s">
        <v>2161</v>
      </c>
      <c r="D12" s="161" t="s">
        <v>2162</v>
      </c>
      <c r="E12" s="162" t="s">
        <v>2153</v>
      </c>
      <c r="F12" s="163" t="s">
        <v>17</v>
      </c>
      <c r="G12" s="164">
        <v>100</v>
      </c>
      <c r="H12" s="153">
        <f t="shared" si="0"/>
        <v>400</v>
      </c>
      <c r="I12" s="451">
        <f>(125+610)/4</f>
        <v>183.75</v>
      </c>
      <c r="J12" s="489">
        <f>SUM(G12:I12)</f>
        <v>683.75</v>
      </c>
      <c r="K12" s="325"/>
      <c r="L12" s="326"/>
    </row>
    <row r="13" spans="1:12" ht="20.25" customHeight="1" x14ac:dyDescent="0.2">
      <c r="A13" s="108">
        <v>9</v>
      </c>
      <c r="B13" s="171" t="s">
        <v>2163</v>
      </c>
      <c r="C13" s="110" t="s">
        <v>2164</v>
      </c>
      <c r="D13" s="111" t="s">
        <v>2165</v>
      </c>
      <c r="E13" s="112" t="s">
        <v>2166</v>
      </c>
      <c r="F13" s="113" t="s">
        <v>8</v>
      </c>
      <c r="G13" s="119">
        <v>50</v>
      </c>
      <c r="H13" s="120">
        <f t="shared" si="0"/>
        <v>450</v>
      </c>
      <c r="I13" s="452">
        <f>+(590+75)/4</f>
        <v>166.25</v>
      </c>
      <c r="J13" s="490">
        <f>SUM(H13:I13)</f>
        <v>616.25</v>
      </c>
      <c r="K13" s="327"/>
      <c r="L13" s="328"/>
    </row>
    <row r="14" spans="1:12" ht="20.25" customHeight="1" x14ac:dyDescent="0.2">
      <c r="A14" s="114">
        <v>10</v>
      </c>
      <c r="B14" s="1" t="s">
        <v>2167</v>
      </c>
      <c r="C14" s="6" t="s">
        <v>2168</v>
      </c>
      <c r="D14" s="7" t="s">
        <v>2169</v>
      </c>
      <c r="E14" s="2" t="s">
        <v>2166</v>
      </c>
      <c r="F14" s="99" t="s">
        <v>11</v>
      </c>
      <c r="G14" s="121">
        <v>100</v>
      </c>
      <c r="H14" s="122">
        <f t="shared" si="0"/>
        <v>400</v>
      </c>
      <c r="I14" s="450">
        <f>+(590+75)/4</f>
        <v>166.25</v>
      </c>
      <c r="J14" s="491">
        <f>SUM(H14:I14)</f>
        <v>566.25</v>
      </c>
      <c r="K14" s="323"/>
      <c r="L14" s="324"/>
    </row>
    <row r="15" spans="1:12" ht="20.25" customHeight="1" x14ac:dyDescent="0.2">
      <c r="A15" s="114">
        <v>11</v>
      </c>
      <c r="B15" s="1" t="s">
        <v>2170</v>
      </c>
      <c r="C15" s="6" t="s">
        <v>2171</v>
      </c>
      <c r="D15" s="7" t="s">
        <v>2172</v>
      </c>
      <c r="E15" s="2" t="s">
        <v>2166</v>
      </c>
      <c r="F15" s="99" t="s">
        <v>14</v>
      </c>
      <c r="G15" s="121">
        <v>100</v>
      </c>
      <c r="H15" s="122">
        <f t="shared" si="0"/>
        <v>400</v>
      </c>
      <c r="I15" s="450">
        <f>+(590+75)/4</f>
        <v>166.25</v>
      </c>
      <c r="J15" s="491">
        <f>SUM(H15:I15)</f>
        <v>566.25</v>
      </c>
      <c r="K15" s="323"/>
      <c r="L15" s="324"/>
    </row>
    <row r="16" spans="1:12" ht="20.25" customHeight="1" thickBot="1" x14ac:dyDescent="0.25">
      <c r="A16" s="158">
        <v>12</v>
      </c>
      <c r="B16" s="159" t="s">
        <v>2173</v>
      </c>
      <c r="C16" s="160" t="s">
        <v>2174</v>
      </c>
      <c r="D16" s="161" t="s">
        <v>2175</v>
      </c>
      <c r="E16" s="162" t="s">
        <v>2166</v>
      </c>
      <c r="F16" s="163" t="s">
        <v>17</v>
      </c>
      <c r="G16" s="164">
        <v>50</v>
      </c>
      <c r="H16" s="153">
        <f t="shared" si="0"/>
        <v>450</v>
      </c>
      <c r="I16" s="451">
        <f>+(590+75)/4</f>
        <v>166.25</v>
      </c>
      <c r="J16" s="492">
        <f>SUM(H16:I16)</f>
        <v>616.25</v>
      </c>
      <c r="K16" s="325"/>
      <c r="L16" s="326"/>
    </row>
    <row r="17" spans="1:12" ht="20.25" customHeight="1" x14ac:dyDescent="0.2">
      <c r="A17" s="108">
        <v>13</v>
      </c>
      <c r="B17" s="171" t="s">
        <v>2176</v>
      </c>
      <c r="C17" s="110" t="s">
        <v>2177</v>
      </c>
      <c r="D17" s="111" t="s">
        <v>2178</v>
      </c>
      <c r="E17" s="112" t="s">
        <v>2179</v>
      </c>
      <c r="F17" s="113" t="s">
        <v>8</v>
      </c>
      <c r="G17" s="119">
        <v>150</v>
      </c>
      <c r="H17" s="120">
        <f t="shared" si="0"/>
        <v>350</v>
      </c>
      <c r="I17" s="452">
        <f>+(-65+300)/4</f>
        <v>58.75</v>
      </c>
      <c r="J17" s="490">
        <f t="shared" ref="J17:J80" si="2">SUM(H17:I17)</f>
        <v>408.75</v>
      </c>
      <c r="K17" s="327"/>
      <c r="L17" s="328"/>
    </row>
    <row r="18" spans="1:12" ht="20.25" customHeight="1" x14ac:dyDescent="0.2">
      <c r="A18" s="114">
        <v>14</v>
      </c>
      <c r="B18" s="1" t="s">
        <v>2180</v>
      </c>
      <c r="C18" s="6" t="s">
        <v>2181</v>
      </c>
      <c r="D18" s="7" t="s">
        <v>2182</v>
      </c>
      <c r="E18" s="2" t="s">
        <v>2179</v>
      </c>
      <c r="F18" s="99" t="s">
        <v>11</v>
      </c>
      <c r="G18" s="121">
        <v>150</v>
      </c>
      <c r="H18" s="122">
        <f t="shared" si="0"/>
        <v>350</v>
      </c>
      <c r="I18" s="450">
        <f>+(-65+300)/4</f>
        <v>58.75</v>
      </c>
      <c r="J18" s="491">
        <f t="shared" si="2"/>
        <v>408.75</v>
      </c>
      <c r="K18" s="323"/>
      <c r="L18" s="324"/>
    </row>
    <row r="19" spans="1:12" ht="20.25" customHeight="1" x14ac:dyDescent="0.2">
      <c r="A19" s="114">
        <v>15</v>
      </c>
      <c r="B19" s="1" t="s">
        <v>2183</v>
      </c>
      <c r="C19" s="6" t="s">
        <v>2184</v>
      </c>
      <c r="D19" s="7" t="s">
        <v>2185</v>
      </c>
      <c r="E19" s="2" t="s">
        <v>2179</v>
      </c>
      <c r="F19" s="99" t="s">
        <v>14</v>
      </c>
      <c r="G19" s="121">
        <v>150</v>
      </c>
      <c r="H19" s="122">
        <f t="shared" si="0"/>
        <v>350</v>
      </c>
      <c r="I19" s="450">
        <f>+(-65+300)/4</f>
        <v>58.75</v>
      </c>
      <c r="J19" s="491">
        <f t="shared" si="2"/>
        <v>408.75</v>
      </c>
      <c r="K19" s="323"/>
      <c r="L19" s="324"/>
    </row>
    <row r="20" spans="1:12" ht="20.25" customHeight="1" thickBot="1" x14ac:dyDescent="0.25">
      <c r="A20" s="158">
        <v>16</v>
      </c>
      <c r="B20" s="159" t="s">
        <v>2186</v>
      </c>
      <c r="C20" s="160" t="s">
        <v>2187</v>
      </c>
      <c r="D20" s="161" t="s">
        <v>2188</v>
      </c>
      <c r="E20" s="162" t="s">
        <v>2179</v>
      </c>
      <c r="F20" s="163" t="s">
        <v>17</v>
      </c>
      <c r="G20" s="164">
        <v>150</v>
      </c>
      <c r="H20" s="153">
        <f t="shared" si="0"/>
        <v>350</v>
      </c>
      <c r="I20" s="451">
        <f>+(-65+300)/4</f>
        <v>58.75</v>
      </c>
      <c r="J20" s="492">
        <f t="shared" si="2"/>
        <v>408.75</v>
      </c>
      <c r="K20" s="325"/>
      <c r="L20" s="326"/>
    </row>
    <row r="21" spans="1:12" ht="20.25" customHeight="1" x14ac:dyDescent="0.2">
      <c r="A21" s="108">
        <v>17</v>
      </c>
      <c r="B21" s="171" t="s">
        <v>2189</v>
      </c>
      <c r="C21" s="110" t="s">
        <v>2190</v>
      </c>
      <c r="D21" s="111" t="s">
        <v>1461</v>
      </c>
      <c r="E21" s="112" t="s">
        <v>2191</v>
      </c>
      <c r="F21" s="113" t="s">
        <v>8</v>
      </c>
      <c r="G21" s="119">
        <v>100</v>
      </c>
      <c r="H21" s="120">
        <f t="shared" si="0"/>
        <v>400</v>
      </c>
      <c r="I21" s="452">
        <f>+(180+540)/4</f>
        <v>180</v>
      </c>
      <c r="J21" s="490">
        <f t="shared" si="2"/>
        <v>580</v>
      </c>
      <c r="K21" s="327"/>
      <c r="L21" s="328"/>
    </row>
    <row r="22" spans="1:12" ht="20.25" customHeight="1" x14ac:dyDescent="0.2">
      <c r="A22" s="114">
        <v>18</v>
      </c>
      <c r="B22" s="1" t="s">
        <v>2192</v>
      </c>
      <c r="C22" s="6" t="s">
        <v>2193</v>
      </c>
      <c r="D22" s="7" t="s">
        <v>2194</v>
      </c>
      <c r="E22" s="2" t="s">
        <v>2191</v>
      </c>
      <c r="F22" s="99" t="s">
        <v>11</v>
      </c>
      <c r="G22" s="121">
        <v>100</v>
      </c>
      <c r="H22" s="122">
        <f t="shared" si="0"/>
        <v>400</v>
      </c>
      <c r="I22" s="450">
        <f>+(180+540)/4</f>
        <v>180</v>
      </c>
      <c r="J22" s="491">
        <f t="shared" si="2"/>
        <v>580</v>
      </c>
      <c r="K22" s="323"/>
      <c r="L22" s="324"/>
    </row>
    <row r="23" spans="1:12" ht="20.25" customHeight="1" x14ac:dyDescent="0.2">
      <c r="A23" s="114">
        <v>19</v>
      </c>
      <c r="B23" s="1" t="s">
        <v>2195</v>
      </c>
      <c r="C23" s="6" t="s">
        <v>2196</v>
      </c>
      <c r="D23" s="7" t="s">
        <v>2197</v>
      </c>
      <c r="E23" s="2" t="s">
        <v>2191</v>
      </c>
      <c r="F23" s="99" t="s">
        <v>14</v>
      </c>
      <c r="G23" s="121">
        <v>100</v>
      </c>
      <c r="H23" s="122">
        <f t="shared" si="0"/>
        <v>400</v>
      </c>
      <c r="I23" s="450">
        <f>+(180+540)/4</f>
        <v>180</v>
      </c>
      <c r="J23" s="491">
        <f t="shared" si="2"/>
        <v>580</v>
      </c>
      <c r="K23" s="323"/>
      <c r="L23" s="324"/>
    </row>
    <row r="24" spans="1:12" ht="20.25" customHeight="1" thickBot="1" x14ac:dyDescent="0.25">
      <c r="A24" s="158">
        <v>20</v>
      </c>
      <c r="B24" s="159" t="s">
        <v>2198</v>
      </c>
      <c r="C24" s="160" t="s">
        <v>2196</v>
      </c>
      <c r="D24" s="161" t="s">
        <v>2199</v>
      </c>
      <c r="E24" s="162" t="s">
        <v>2191</v>
      </c>
      <c r="F24" s="163" t="s">
        <v>17</v>
      </c>
      <c r="G24" s="164">
        <v>100</v>
      </c>
      <c r="H24" s="153">
        <f t="shared" si="0"/>
        <v>400</v>
      </c>
      <c r="I24" s="451">
        <f>+(180+540)/4</f>
        <v>180</v>
      </c>
      <c r="J24" s="492">
        <f t="shared" si="2"/>
        <v>580</v>
      </c>
      <c r="K24" s="325"/>
      <c r="L24" s="326"/>
    </row>
    <row r="25" spans="1:12" ht="20.25" customHeight="1" thickBot="1" x14ac:dyDescent="0.25">
      <c r="A25" s="108">
        <v>21</v>
      </c>
      <c r="B25" s="174" t="s">
        <v>2200</v>
      </c>
      <c r="C25" s="175" t="s">
        <v>2201</v>
      </c>
      <c r="D25" s="176" t="s">
        <v>2202</v>
      </c>
      <c r="E25" s="177" t="s">
        <v>2203</v>
      </c>
      <c r="F25" s="178" t="s">
        <v>8</v>
      </c>
      <c r="G25" s="179">
        <v>100</v>
      </c>
      <c r="H25" s="120">
        <f t="shared" si="0"/>
        <v>400</v>
      </c>
      <c r="I25" s="452">
        <f>+(420+1195)/3</f>
        <v>538.33333333333337</v>
      </c>
      <c r="J25" s="490">
        <f t="shared" si="2"/>
        <v>938.33333333333337</v>
      </c>
      <c r="K25" s="327"/>
      <c r="L25" s="328"/>
    </row>
    <row r="26" spans="1:12" ht="20.25" customHeight="1" thickBot="1" x14ac:dyDescent="0.25">
      <c r="A26" s="114">
        <v>22</v>
      </c>
      <c r="B26" s="47" t="s">
        <v>2204</v>
      </c>
      <c r="C26" s="10" t="s">
        <v>2205</v>
      </c>
      <c r="D26" s="11" t="s">
        <v>2206</v>
      </c>
      <c r="E26" s="5" t="s">
        <v>2203</v>
      </c>
      <c r="F26" s="100" t="s">
        <v>11</v>
      </c>
      <c r="G26" s="125">
        <v>100</v>
      </c>
      <c r="H26" s="122">
        <f t="shared" si="0"/>
        <v>400</v>
      </c>
      <c r="I26" s="452">
        <f>+(420+1195)/3</f>
        <v>538.33333333333337</v>
      </c>
      <c r="J26" s="491">
        <f t="shared" si="2"/>
        <v>938.33333333333337</v>
      </c>
      <c r="K26" s="323"/>
      <c r="L26" s="324"/>
    </row>
    <row r="27" spans="1:12" ht="20.25" customHeight="1" x14ac:dyDescent="0.2">
      <c r="A27" s="114">
        <v>23</v>
      </c>
      <c r="B27" s="47" t="s">
        <v>2207</v>
      </c>
      <c r="C27" s="10" t="s">
        <v>2208</v>
      </c>
      <c r="D27" s="11" t="s">
        <v>2209</v>
      </c>
      <c r="E27" s="5" t="s">
        <v>2203</v>
      </c>
      <c r="F27" s="100" t="s">
        <v>14</v>
      </c>
      <c r="G27" s="125">
        <v>100</v>
      </c>
      <c r="H27" s="122">
        <f t="shared" si="0"/>
        <v>400</v>
      </c>
      <c r="I27" s="452">
        <f>+(420+1195)/3</f>
        <v>538.33333333333337</v>
      </c>
      <c r="J27" s="491">
        <f t="shared" si="2"/>
        <v>938.33333333333337</v>
      </c>
      <c r="K27" s="323"/>
      <c r="L27" s="324"/>
    </row>
    <row r="28" spans="1:12" ht="20.25" customHeight="1" thickBot="1" x14ac:dyDescent="0.25">
      <c r="A28" s="319">
        <v>24</v>
      </c>
      <c r="B28" s="180"/>
      <c r="C28" s="181" t="s">
        <v>4946</v>
      </c>
      <c r="D28" s="182"/>
      <c r="E28" s="183" t="s">
        <v>2203</v>
      </c>
      <c r="F28" s="184" t="s">
        <v>17</v>
      </c>
      <c r="G28" s="453"/>
      <c r="H28" s="185"/>
      <c r="I28" s="286"/>
      <c r="J28" s="493">
        <f t="shared" si="2"/>
        <v>0</v>
      </c>
      <c r="K28" s="329" t="s">
        <v>4946</v>
      </c>
      <c r="L28" s="326"/>
    </row>
    <row r="29" spans="1:12" ht="20.25" customHeight="1" x14ac:dyDescent="0.2">
      <c r="A29" s="108">
        <v>25</v>
      </c>
      <c r="B29" s="186"/>
      <c r="C29" s="187" t="s">
        <v>4876</v>
      </c>
      <c r="D29" s="188"/>
      <c r="E29" s="189" t="s">
        <v>2213</v>
      </c>
      <c r="F29" s="190" t="s">
        <v>8</v>
      </c>
      <c r="G29" s="454">
        <v>0</v>
      </c>
      <c r="H29" s="191"/>
      <c r="I29" s="287"/>
      <c r="J29" s="494">
        <f t="shared" si="2"/>
        <v>0</v>
      </c>
      <c r="K29" s="330" t="s">
        <v>4876</v>
      </c>
      <c r="L29" s="328"/>
    </row>
    <row r="30" spans="1:12" ht="20.25" customHeight="1" x14ac:dyDescent="0.2">
      <c r="A30" s="114">
        <v>26</v>
      </c>
      <c r="B30" s="16" t="s">
        <v>4966</v>
      </c>
      <c r="C30" s="25" t="s">
        <v>4887</v>
      </c>
      <c r="D30" s="24" t="s">
        <v>4888</v>
      </c>
      <c r="E30" s="5" t="s">
        <v>2213</v>
      </c>
      <c r="F30" s="100" t="s">
        <v>11</v>
      </c>
      <c r="G30" s="125">
        <v>150</v>
      </c>
      <c r="H30" s="122">
        <f t="shared" si="0"/>
        <v>350</v>
      </c>
      <c r="I30" s="450">
        <f>+(645+795)/3</f>
        <v>480</v>
      </c>
      <c r="J30" s="491">
        <f t="shared" si="2"/>
        <v>830</v>
      </c>
      <c r="K30" s="323"/>
      <c r="L30" s="324"/>
    </row>
    <row r="31" spans="1:12" ht="20.25" customHeight="1" x14ac:dyDescent="0.2">
      <c r="A31" s="114">
        <v>27</v>
      </c>
      <c r="B31" s="47" t="s">
        <v>2210</v>
      </c>
      <c r="C31" s="10" t="s">
        <v>2211</v>
      </c>
      <c r="D31" s="11" t="s">
        <v>2212</v>
      </c>
      <c r="E31" s="5" t="s">
        <v>2213</v>
      </c>
      <c r="F31" s="100" t="s">
        <v>14</v>
      </c>
      <c r="G31" s="125">
        <v>400</v>
      </c>
      <c r="H31" s="122">
        <f t="shared" si="0"/>
        <v>100</v>
      </c>
      <c r="I31" s="450">
        <f>+(645+795)/3</f>
        <v>480</v>
      </c>
      <c r="J31" s="491">
        <f t="shared" si="2"/>
        <v>580</v>
      </c>
      <c r="K31" s="323"/>
      <c r="L31" s="324"/>
    </row>
    <row r="32" spans="1:12" ht="20.25" customHeight="1" thickBot="1" x14ac:dyDescent="0.25">
      <c r="A32" s="158">
        <v>28</v>
      </c>
      <c r="B32" s="192" t="s">
        <v>2214</v>
      </c>
      <c r="C32" s="193" t="s">
        <v>2215</v>
      </c>
      <c r="D32" s="194" t="s">
        <v>2216</v>
      </c>
      <c r="E32" s="195" t="s">
        <v>2213</v>
      </c>
      <c r="F32" s="196" t="s">
        <v>17</v>
      </c>
      <c r="G32" s="197">
        <v>150</v>
      </c>
      <c r="H32" s="153">
        <f t="shared" si="0"/>
        <v>350</v>
      </c>
      <c r="I32" s="451">
        <f>+(645+795)/3</f>
        <v>480</v>
      </c>
      <c r="J32" s="492">
        <f t="shared" si="2"/>
        <v>830</v>
      </c>
      <c r="K32" s="325"/>
      <c r="L32" s="326"/>
    </row>
    <row r="33" spans="1:12" ht="20.25" customHeight="1" x14ac:dyDescent="0.2">
      <c r="A33" s="108">
        <v>29</v>
      </c>
      <c r="B33" s="171" t="s">
        <v>2217</v>
      </c>
      <c r="C33" s="110" t="s">
        <v>2218</v>
      </c>
      <c r="D33" s="111" t="s">
        <v>2219</v>
      </c>
      <c r="E33" s="112" t="s">
        <v>2220</v>
      </c>
      <c r="F33" s="113" t="s">
        <v>8</v>
      </c>
      <c r="G33" s="119">
        <v>100</v>
      </c>
      <c r="H33" s="120">
        <f t="shared" si="0"/>
        <v>400</v>
      </c>
      <c r="I33" s="452">
        <f>+(95+1115)/4</f>
        <v>302.5</v>
      </c>
      <c r="J33" s="490">
        <f t="shared" si="2"/>
        <v>702.5</v>
      </c>
      <c r="K33" s="327"/>
      <c r="L33" s="328"/>
    </row>
    <row r="34" spans="1:12" ht="20.25" customHeight="1" x14ac:dyDescent="0.2">
      <c r="A34" s="114">
        <v>30</v>
      </c>
      <c r="B34" s="1" t="s">
        <v>2221</v>
      </c>
      <c r="C34" s="6" t="s">
        <v>2222</v>
      </c>
      <c r="D34" s="7" t="s">
        <v>271</v>
      </c>
      <c r="E34" s="2" t="s">
        <v>2220</v>
      </c>
      <c r="F34" s="99" t="s">
        <v>11</v>
      </c>
      <c r="G34" s="121">
        <v>150</v>
      </c>
      <c r="H34" s="122">
        <f t="shared" si="0"/>
        <v>350</v>
      </c>
      <c r="I34" s="450">
        <f>+(95+1115)/4</f>
        <v>302.5</v>
      </c>
      <c r="J34" s="491">
        <f t="shared" si="2"/>
        <v>652.5</v>
      </c>
      <c r="K34" s="323"/>
      <c r="L34" s="324"/>
    </row>
    <row r="35" spans="1:12" ht="20.25" customHeight="1" x14ac:dyDescent="0.2">
      <c r="A35" s="114">
        <v>31</v>
      </c>
      <c r="B35" s="1" t="s">
        <v>2223</v>
      </c>
      <c r="C35" s="6" t="s">
        <v>2224</v>
      </c>
      <c r="D35" s="7" t="s">
        <v>2225</v>
      </c>
      <c r="E35" s="2" t="s">
        <v>2220</v>
      </c>
      <c r="F35" s="99" t="s">
        <v>14</v>
      </c>
      <c r="G35" s="121">
        <v>100</v>
      </c>
      <c r="H35" s="122">
        <f t="shared" si="0"/>
        <v>400</v>
      </c>
      <c r="I35" s="450">
        <f>+(95+1115)/4</f>
        <v>302.5</v>
      </c>
      <c r="J35" s="491">
        <f t="shared" si="2"/>
        <v>702.5</v>
      </c>
      <c r="K35" s="323"/>
      <c r="L35" s="324"/>
    </row>
    <row r="36" spans="1:12" ht="20.25" customHeight="1" thickBot="1" x14ac:dyDescent="0.25">
      <c r="A36" s="158">
        <v>32</v>
      </c>
      <c r="B36" s="159" t="s">
        <v>2226</v>
      </c>
      <c r="C36" s="160" t="s">
        <v>2227</v>
      </c>
      <c r="D36" s="161" t="s">
        <v>2228</v>
      </c>
      <c r="E36" s="162" t="s">
        <v>2220</v>
      </c>
      <c r="F36" s="163" t="s">
        <v>17</v>
      </c>
      <c r="G36" s="164">
        <v>100</v>
      </c>
      <c r="H36" s="153">
        <f t="shared" si="0"/>
        <v>400</v>
      </c>
      <c r="I36" s="451">
        <f>+(95+1115)/4</f>
        <v>302.5</v>
      </c>
      <c r="J36" s="492">
        <f t="shared" si="2"/>
        <v>702.5</v>
      </c>
      <c r="K36" s="325"/>
      <c r="L36" s="326"/>
    </row>
    <row r="37" spans="1:12" ht="20.25" customHeight="1" x14ac:dyDescent="0.2">
      <c r="A37" s="108">
        <v>33</v>
      </c>
      <c r="B37" s="171" t="s">
        <v>2229</v>
      </c>
      <c r="C37" s="110" t="s">
        <v>2230</v>
      </c>
      <c r="D37" s="111" t="s">
        <v>2231</v>
      </c>
      <c r="E37" s="112" t="s">
        <v>2232</v>
      </c>
      <c r="F37" s="113" t="s">
        <v>8</v>
      </c>
      <c r="G37" s="119">
        <v>50</v>
      </c>
      <c r="H37" s="120">
        <f t="shared" si="0"/>
        <v>450</v>
      </c>
      <c r="I37" s="452">
        <f>+(0+350)/4</f>
        <v>87.5</v>
      </c>
      <c r="J37" s="490">
        <f t="shared" si="2"/>
        <v>537.5</v>
      </c>
      <c r="K37" s="327"/>
      <c r="L37" s="328"/>
    </row>
    <row r="38" spans="1:12" ht="20.25" customHeight="1" x14ac:dyDescent="0.2">
      <c r="A38" s="114">
        <v>34</v>
      </c>
      <c r="B38" s="1" t="s">
        <v>2233</v>
      </c>
      <c r="C38" s="6" t="s">
        <v>2234</v>
      </c>
      <c r="D38" s="7" t="s">
        <v>2235</v>
      </c>
      <c r="E38" s="2" t="s">
        <v>2232</v>
      </c>
      <c r="F38" s="99" t="s">
        <v>11</v>
      </c>
      <c r="G38" s="121">
        <v>50</v>
      </c>
      <c r="H38" s="122">
        <f t="shared" si="0"/>
        <v>450</v>
      </c>
      <c r="I38" s="450">
        <f>+(0+350)/4</f>
        <v>87.5</v>
      </c>
      <c r="J38" s="491">
        <f t="shared" si="2"/>
        <v>537.5</v>
      </c>
      <c r="K38" s="323"/>
      <c r="L38" s="324"/>
    </row>
    <row r="39" spans="1:12" ht="20.25" customHeight="1" x14ac:dyDescent="0.2">
      <c r="A39" s="114">
        <v>35</v>
      </c>
      <c r="B39" s="1" t="s">
        <v>2236</v>
      </c>
      <c r="C39" s="6" t="s">
        <v>2237</v>
      </c>
      <c r="D39" s="7" t="s">
        <v>2238</v>
      </c>
      <c r="E39" s="2" t="s">
        <v>2232</v>
      </c>
      <c r="F39" s="99" t="s">
        <v>14</v>
      </c>
      <c r="G39" s="121">
        <v>50</v>
      </c>
      <c r="H39" s="122">
        <f t="shared" si="0"/>
        <v>450</v>
      </c>
      <c r="I39" s="450">
        <f>+(0+350)/4</f>
        <v>87.5</v>
      </c>
      <c r="J39" s="491">
        <f t="shared" si="2"/>
        <v>537.5</v>
      </c>
      <c r="K39" s="323"/>
      <c r="L39" s="324"/>
    </row>
    <row r="40" spans="1:12" ht="20.25" customHeight="1" thickBot="1" x14ac:dyDescent="0.25">
      <c r="A40" s="158">
        <v>36</v>
      </c>
      <c r="B40" s="159" t="s">
        <v>2239</v>
      </c>
      <c r="C40" s="160" t="s">
        <v>2240</v>
      </c>
      <c r="D40" s="161" t="s">
        <v>2241</v>
      </c>
      <c r="E40" s="162" t="s">
        <v>2232</v>
      </c>
      <c r="F40" s="163" t="s">
        <v>17</v>
      </c>
      <c r="G40" s="164">
        <v>50</v>
      </c>
      <c r="H40" s="153">
        <f t="shared" si="0"/>
        <v>450</v>
      </c>
      <c r="I40" s="451">
        <f>+(0+350)/4</f>
        <v>87.5</v>
      </c>
      <c r="J40" s="492">
        <f t="shared" si="2"/>
        <v>537.5</v>
      </c>
      <c r="K40" s="325"/>
      <c r="L40" s="326"/>
    </row>
    <row r="41" spans="1:12" ht="20.25" customHeight="1" x14ac:dyDescent="0.2">
      <c r="A41" s="108">
        <v>37</v>
      </c>
      <c r="B41" s="171" t="s">
        <v>2242</v>
      </c>
      <c r="C41" s="110" t="s">
        <v>2243</v>
      </c>
      <c r="D41" s="111" t="s">
        <v>2244</v>
      </c>
      <c r="E41" s="112" t="s">
        <v>2245</v>
      </c>
      <c r="F41" s="113" t="s">
        <v>8</v>
      </c>
      <c r="G41" s="119">
        <v>150</v>
      </c>
      <c r="H41" s="120">
        <f t="shared" si="0"/>
        <v>350</v>
      </c>
      <c r="I41" s="452">
        <f>+(520+1635)/4</f>
        <v>538.75</v>
      </c>
      <c r="J41" s="490">
        <f t="shared" si="2"/>
        <v>888.75</v>
      </c>
      <c r="K41" s="327"/>
      <c r="L41" s="328"/>
    </row>
    <row r="42" spans="1:12" ht="20.25" customHeight="1" x14ac:dyDescent="0.2">
      <c r="A42" s="114">
        <v>38</v>
      </c>
      <c r="B42" s="1" t="s">
        <v>2246</v>
      </c>
      <c r="C42" s="6" t="s">
        <v>2247</v>
      </c>
      <c r="D42" s="7" t="s">
        <v>2248</v>
      </c>
      <c r="E42" s="2" t="s">
        <v>2245</v>
      </c>
      <c r="F42" s="99" t="s">
        <v>11</v>
      </c>
      <c r="G42" s="121">
        <v>50</v>
      </c>
      <c r="H42" s="122">
        <f t="shared" si="0"/>
        <v>450</v>
      </c>
      <c r="I42" s="450">
        <f>+(520+1635)/4</f>
        <v>538.75</v>
      </c>
      <c r="J42" s="491">
        <f t="shared" si="2"/>
        <v>988.75</v>
      </c>
      <c r="K42" s="323"/>
      <c r="L42" s="324"/>
    </row>
    <row r="43" spans="1:12" ht="20.25" customHeight="1" x14ac:dyDescent="0.2">
      <c r="A43" s="114">
        <v>39</v>
      </c>
      <c r="B43" s="1" t="s">
        <v>2249</v>
      </c>
      <c r="C43" s="6" t="s">
        <v>2250</v>
      </c>
      <c r="D43" s="7" t="s">
        <v>2251</v>
      </c>
      <c r="E43" s="2" t="s">
        <v>2245</v>
      </c>
      <c r="F43" s="99" t="s">
        <v>14</v>
      </c>
      <c r="G43" s="121">
        <v>50</v>
      </c>
      <c r="H43" s="122">
        <f t="shared" si="0"/>
        <v>450</v>
      </c>
      <c r="I43" s="450">
        <f>+(520+1635)/4</f>
        <v>538.75</v>
      </c>
      <c r="J43" s="491">
        <f t="shared" si="2"/>
        <v>988.75</v>
      </c>
      <c r="K43" s="323"/>
      <c r="L43" s="324"/>
    </row>
    <row r="44" spans="1:12" ht="20.25" customHeight="1" thickBot="1" x14ac:dyDescent="0.25">
      <c r="A44" s="147">
        <v>40</v>
      </c>
      <c r="B44" s="148" t="s">
        <v>2252</v>
      </c>
      <c r="C44" s="198" t="s">
        <v>2253</v>
      </c>
      <c r="D44" s="150" t="s">
        <v>2254</v>
      </c>
      <c r="E44" s="151" t="s">
        <v>2245</v>
      </c>
      <c r="F44" s="149" t="s">
        <v>17</v>
      </c>
      <c r="G44" s="152">
        <v>100</v>
      </c>
      <c r="H44" s="247">
        <f t="shared" si="0"/>
        <v>400</v>
      </c>
      <c r="I44" s="295">
        <f>+(520+1635)/4</f>
        <v>538.75</v>
      </c>
      <c r="J44" s="495">
        <f t="shared" si="2"/>
        <v>938.75</v>
      </c>
      <c r="K44" s="331" t="s">
        <v>4996</v>
      </c>
      <c r="L44" s="332">
        <v>6280</v>
      </c>
    </row>
    <row r="45" spans="1:12" ht="20.25" customHeight="1" x14ac:dyDescent="0.2">
      <c r="A45" s="108">
        <v>41</v>
      </c>
      <c r="B45" s="171" t="s">
        <v>2255</v>
      </c>
      <c r="C45" s="110" t="s">
        <v>2256</v>
      </c>
      <c r="D45" s="111" t="s">
        <v>2257</v>
      </c>
      <c r="E45" s="112" t="s">
        <v>2258</v>
      </c>
      <c r="F45" s="113" t="s">
        <v>8</v>
      </c>
      <c r="G45" s="119">
        <v>50</v>
      </c>
      <c r="H45" s="120">
        <f t="shared" si="0"/>
        <v>450</v>
      </c>
      <c r="I45" s="452">
        <f>+(1260+1755)/4</f>
        <v>753.75</v>
      </c>
      <c r="J45" s="490">
        <f t="shared" si="2"/>
        <v>1203.75</v>
      </c>
      <c r="K45" s="327"/>
      <c r="L45" s="328"/>
    </row>
    <row r="46" spans="1:12" ht="20.25" customHeight="1" x14ac:dyDescent="0.2">
      <c r="A46" s="114">
        <v>42</v>
      </c>
      <c r="B46" s="1" t="s">
        <v>2259</v>
      </c>
      <c r="C46" s="6" t="s">
        <v>2260</v>
      </c>
      <c r="D46" s="7" t="s">
        <v>2261</v>
      </c>
      <c r="E46" s="2" t="s">
        <v>2258</v>
      </c>
      <c r="F46" s="99" t="s">
        <v>11</v>
      </c>
      <c r="G46" s="121">
        <v>50</v>
      </c>
      <c r="H46" s="122">
        <f t="shared" si="0"/>
        <v>450</v>
      </c>
      <c r="I46" s="450">
        <f>+(1260+1755)/4</f>
        <v>753.75</v>
      </c>
      <c r="J46" s="491">
        <f t="shared" si="2"/>
        <v>1203.75</v>
      </c>
      <c r="K46" s="323"/>
      <c r="L46" s="324"/>
    </row>
    <row r="47" spans="1:12" ht="20.25" customHeight="1" x14ac:dyDescent="0.2">
      <c r="A47" s="114">
        <v>43</v>
      </c>
      <c r="B47" s="1" t="s">
        <v>2262</v>
      </c>
      <c r="C47" s="6" t="s">
        <v>2263</v>
      </c>
      <c r="D47" s="7" t="s">
        <v>2264</v>
      </c>
      <c r="E47" s="2" t="s">
        <v>2258</v>
      </c>
      <c r="F47" s="99" t="s">
        <v>14</v>
      </c>
      <c r="G47" s="121">
        <v>50</v>
      </c>
      <c r="H47" s="122">
        <f t="shared" si="0"/>
        <v>450</v>
      </c>
      <c r="I47" s="450">
        <f>+(1260+1755)/4</f>
        <v>753.75</v>
      </c>
      <c r="J47" s="491">
        <f t="shared" si="2"/>
        <v>1203.75</v>
      </c>
      <c r="K47" s="323"/>
      <c r="L47" s="324"/>
    </row>
    <row r="48" spans="1:12" ht="20.25" customHeight="1" thickBot="1" x14ac:dyDescent="0.25">
      <c r="A48" s="147">
        <v>44</v>
      </c>
      <c r="B48" s="148" t="s">
        <v>2265</v>
      </c>
      <c r="C48" s="198" t="s">
        <v>2266</v>
      </c>
      <c r="D48" s="150" t="s">
        <v>2267</v>
      </c>
      <c r="E48" s="151" t="s">
        <v>2258</v>
      </c>
      <c r="F48" s="149" t="s">
        <v>17</v>
      </c>
      <c r="G48" s="455">
        <v>50</v>
      </c>
      <c r="H48" s="456">
        <f t="shared" si="0"/>
        <v>450</v>
      </c>
      <c r="I48" s="457">
        <f>+(1260+1755)/4</f>
        <v>753.75</v>
      </c>
      <c r="J48" s="496">
        <f t="shared" si="2"/>
        <v>1203.75</v>
      </c>
      <c r="K48" s="331" t="s">
        <v>4996</v>
      </c>
      <c r="L48" s="332">
        <v>6280</v>
      </c>
    </row>
    <row r="49" spans="1:12" ht="20.25" customHeight="1" x14ac:dyDescent="0.2">
      <c r="A49" s="108">
        <v>45</v>
      </c>
      <c r="B49" s="171" t="s">
        <v>2268</v>
      </c>
      <c r="C49" s="110" t="s">
        <v>2269</v>
      </c>
      <c r="D49" s="111" t="s">
        <v>2270</v>
      </c>
      <c r="E49" s="112" t="s">
        <v>2271</v>
      </c>
      <c r="F49" s="113">
        <v>1</v>
      </c>
      <c r="G49" s="119">
        <v>100</v>
      </c>
      <c r="H49" s="120">
        <f t="shared" si="0"/>
        <v>400</v>
      </c>
      <c r="I49" s="452">
        <f>+(205-105)/4</f>
        <v>25</v>
      </c>
      <c r="J49" s="490">
        <f t="shared" si="2"/>
        <v>425</v>
      </c>
      <c r="K49" s="327"/>
      <c r="L49" s="328"/>
    </row>
    <row r="50" spans="1:12" ht="20.25" customHeight="1" x14ac:dyDescent="0.2">
      <c r="A50" s="114">
        <v>46</v>
      </c>
      <c r="B50" s="1" t="s">
        <v>2272</v>
      </c>
      <c r="C50" s="6" t="s">
        <v>2273</v>
      </c>
      <c r="D50" s="7" t="s">
        <v>2274</v>
      </c>
      <c r="E50" s="2" t="s">
        <v>2271</v>
      </c>
      <c r="F50" s="99">
        <v>2</v>
      </c>
      <c r="G50" s="121">
        <v>100</v>
      </c>
      <c r="H50" s="122">
        <f t="shared" si="0"/>
        <v>400</v>
      </c>
      <c r="I50" s="450">
        <f>+(205-105)/4</f>
        <v>25</v>
      </c>
      <c r="J50" s="491">
        <f t="shared" si="2"/>
        <v>425</v>
      </c>
      <c r="K50" s="323"/>
      <c r="L50" s="324"/>
    </row>
    <row r="51" spans="1:12" ht="20.25" customHeight="1" x14ac:dyDescent="0.2">
      <c r="A51" s="114">
        <v>47</v>
      </c>
      <c r="B51" s="1" t="s">
        <v>2278</v>
      </c>
      <c r="C51" s="6" t="s">
        <v>2279</v>
      </c>
      <c r="D51" s="7" t="s">
        <v>345</v>
      </c>
      <c r="E51" s="2" t="s">
        <v>2271</v>
      </c>
      <c r="F51" s="99">
        <v>3</v>
      </c>
      <c r="G51" s="121">
        <v>150</v>
      </c>
      <c r="H51" s="122">
        <f t="shared" si="0"/>
        <v>350</v>
      </c>
      <c r="I51" s="450">
        <f>+(205-105)/4</f>
        <v>25</v>
      </c>
      <c r="J51" s="491">
        <f t="shared" si="2"/>
        <v>375</v>
      </c>
      <c r="K51" s="323"/>
      <c r="L51" s="324"/>
    </row>
    <row r="52" spans="1:12" ht="20.25" customHeight="1" thickBot="1" x14ac:dyDescent="0.25">
      <c r="A52" s="158">
        <v>48</v>
      </c>
      <c r="B52" s="159" t="s">
        <v>2280</v>
      </c>
      <c r="C52" s="160" t="s">
        <v>2281</v>
      </c>
      <c r="D52" s="161" t="s">
        <v>2282</v>
      </c>
      <c r="E52" s="162" t="s">
        <v>2271</v>
      </c>
      <c r="F52" s="163">
        <v>4</v>
      </c>
      <c r="G52" s="164">
        <v>100</v>
      </c>
      <c r="H52" s="153">
        <f t="shared" si="0"/>
        <v>400</v>
      </c>
      <c r="I52" s="451">
        <f>+(205-105)/4</f>
        <v>25</v>
      </c>
      <c r="J52" s="492">
        <f t="shared" si="2"/>
        <v>425</v>
      </c>
      <c r="K52" s="325"/>
      <c r="L52" s="326"/>
    </row>
    <row r="53" spans="1:12" ht="20.25" customHeight="1" x14ac:dyDescent="0.2">
      <c r="A53" s="108">
        <v>49</v>
      </c>
      <c r="B53" s="171" t="s">
        <v>2283</v>
      </c>
      <c r="C53" s="110" t="s">
        <v>2284</v>
      </c>
      <c r="D53" s="111" t="s">
        <v>2285</v>
      </c>
      <c r="E53" s="112" t="s">
        <v>2286</v>
      </c>
      <c r="F53" s="113" t="s">
        <v>8</v>
      </c>
      <c r="G53" s="119">
        <v>150</v>
      </c>
      <c r="H53" s="120">
        <f t="shared" si="0"/>
        <v>350</v>
      </c>
      <c r="I53" s="452">
        <f>+(1045+1460)/4</f>
        <v>626.25</v>
      </c>
      <c r="J53" s="490">
        <f t="shared" si="2"/>
        <v>976.25</v>
      </c>
      <c r="K53" s="327"/>
      <c r="L53" s="328"/>
    </row>
    <row r="54" spans="1:12" ht="20.25" customHeight="1" x14ac:dyDescent="0.2">
      <c r="A54" s="114">
        <v>50</v>
      </c>
      <c r="B54" s="1" t="s">
        <v>2287</v>
      </c>
      <c r="C54" s="6" t="s">
        <v>2288</v>
      </c>
      <c r="D54" s="7" t="s">
        <v>2289</v>
      </c>
      <c r="E54" s="2" t="s">
        <v>2286</v>
      </c>
      <c r="F54" s="99" t="s">
        <v>11</v>
      </c>
      <c r="G54" s="121">
        <v>200</v>
      </c>
      <c r="H54" s="122">
        <f t="shared" si="0"/>
        <v>300</v>
      </c>
      <c r="I54" s="450">
        <f>+(1045+1460)/4</f>
        <v>626.25</v>
      </c>
      <c r="J54" s="491">
        <f t="shared" si="2"/>
        <v>926.25</v>
      </c>
      <c r="K54" s="323"/>
      <c r="L54" s="324"/>
    </row>
    <row r="55" spans="1:12" ht="20.25" customHeight="1" x14ac:dyDescent="0.2">
      <c r="A55" s="114">
        <v>51</v>
      </c>
      <c r="B55" s="1" t="s">
        <v>2290</v>
      </c>
      <c r="C55" s="6" t="s">
        <v>2291</v>
      </c>
      <c r="D55" s="7" t="s">
        <v>1219</v>
      </c>
      <c r="E55" s="2" t="s">
        <v>2286</v>
      </c>
      <c r="F55" s="99" t="s">
        <v>14</v>
      </c>
      <c r="G55" s="121">
        <v>150</v>
      </c>
      <c r="H55" s="122">
        <f t="shared" si="0"/>
        <v>350</v>
      </c>
      <c r="I55" s="450">
        <f>+(1045+1460)/4</f>
        <v>626.25</v>
      </c>
      <c r="J55" s="491">
        <f t="shared" si="2"/>
        <v>976.25</v>
      </c>
      <c r="K55" s="323"/>
      <c r="L55" s="324"/>
    </row>
    <row r="56" spans="1:12" ht="20.25" customHeight="1" thickBot="1" x14ac:dyDescent="0.25">
      <c r="A56" s="158">
        <v>52</v>
      </c>
      <c r="B56" s="159" t="s">
        <v>2292</v>
      </c>
      <c r="C56" s="160" t="s">
        <v>2293</v>
      </c>
      <c r="D56" s="161" t="s">
        <v>2294</v>
      </c>
      <c r="E56" s="162" t="s">
        <v>2286</v>
      </c>
      <c r="F56" s="163" t="s">
        <v>17</v>
      </c>
      <c r="G56" s="164">
        <v>150</v>
      </c>
      <c r="H56" s="153">
        <f t="shared" si="0"/>
        <v>350</v>
      </c>
      <c r="I56" s="451">
        <f>+(1045+1460)/4</f>
        <v>626.25</v>
      </c>
      <c r="J56" s="492">
        <f t="shared" si="2"/>
        <v>976.25</v>
      </c>
      <c r="K56" s="325"/>
      <c r="L56" s="326"/>
    </row>
    <row r="57" spans="1:12" ht="20.25" customHeight="1" x14ac:dyDescent="0.2">
      <c r="A57" s="108">
        <v>53</v>
      </c>
      <c r="B57" s="171" t="s">
        <v>2295</v>
      </c>
      <c r="C57" s="110" t="s">
        <v>2296</v>
      </c>
      <c r="D57" s="111" t="s">
        <v>2297</v>
      </c>
      <c r="E57" s="112" t="s">
        <v>2298</v>
      </c>
      <c r="F57" s="113" t="s">
        <v>8</v>
      </c>
      <c r="G57" s="119">
        <v>150</v>
      </c>
      <c r="H57" s="120">
        <f t="shared" si="0"/>
        <v>350</v>
      </c>
      <c r="I57" s="452">
        <v>0</v>
      </c>
      <c r="J57" s="490">
        <f t="shared" si="2"/>
        <v>350</v>
      </c>
      <c r="K57" s="327"/>
      <c r="L57" s="328"/>
    </row>
    <row r="58" spans="1:12" ht="20.25" customHeight="1" x14ac:dyDescent="0.2">
      <c r="A58" s="114">
        <v>54</v>
      </c>
      <c r="B58" s="1" t="s">
        <v>2299</v>
      </c>
      <c r="C58" s="6" t="s">
        <v>2300</v>
      </c>
      <c r="D58" s="7" t="s">
        <v>2301</v>
      </c>
      <c r="E58" s="2" t="s">
        <v>2298</v>
      </c>
      <c r="F58" s="99" t="s">
        <v>11</v>
      </c>
      <c r="G58" s="121">
        <v>150</v>
      </c>
      <c r="H58" s="122">
        <f t="shared" si="0"/>
        <v>350</v>
      </c>
      <c r="I58" s="450">
        <v>0</v>
      </c>
      <c r="J58" s="491">
        <f t="shared" si="2"/>
        <v>350</v>
      </c>
      <c r="K58" s="323"/>
      <c r="L58" s="324"/>
    </row>
    <row r="59" spans="1:12" ht="20.25" customHeight="1" x14ac:dyDescent="0.2">
      <c r="A59" s="114">
        <v>55</v>
      </c>
      <c r="B59" s="1" t="s">
        <v>2302</v>
      </c>
      <c r="C59" s="6" t="s">
        <v>2303</v>
      </c>
      <c r="D59" s="7" t="s">
        <v>2304</v>
      </c>
      <c r="E59" s="2" t="s">
        <v>2298</v>
      </c>
      <c r="F59" s="99" t="s">
        <v>14</v>
      </c>
      <c r="G59" s="121">
        <v>100</v>
      </c>
      <c r="H59" s="122">
        <f t="shared" si="0"/>
        <v>400</v>
      </c>
      <c r="I59" s="450">
        <v>0</v>
      </c>
      <c r="J59" s="491">
        <f t="shared" si="2"/>
        <v>400</v>
      </c>
      <c r="K59" s="323"/>
      <c r="L59" s="324"/>
    </row>
    <row r="60" spans="1:12" ht="20.25" customHeight="1" thickBot="1" x14ac:dyDescent="0.25">
      <c r="A60" s="158">
        <v>56</v>
      </c>
      <c r="B60" s="159" t="s">
        <v>2305</v>
      </c>
      <c r="C60" s="160" t="s">
        <v>2306</v>
      </c>
      <c r="D60" s="161" t="s">
        <v>2307</v>
      </c>
      <c r="E60" s="162" t="s">
        <v>2298</v>
      </c>
      <c r="F60" s="163" t="s">
        <v>17</v>
      </c>
      <c r="G60" s="164">
        <v>150</v>
      </c>
      <c r="H60" s="153">
        <f t="shared" si="0"/>
        <v>350</v>
      </c>
      <c r="I60" s="451">
        <v>0</v>
      </c>
      <c r="J60" s="492">
        <f t="shared" si="2"/>
        <v>350</v>
      </c>
      <c r="K60" s="325"/>
      <c r="L60" s="326"/>
    </row>
    <row r="61" spans="1:12" ht="20.25" customHeight="1" x14ac:dyDescent="0.2">
      <c r="A61" s="108">
        <v>57</v>
      </c>
      <c r="B61" s="171" t="s">
        <v>2308</v>
      </c>
      <c r="C61" s="110" t="s">
        <v>2309</v>
      </c>
      <c r="D61" s="111" t="s">
        <v>2310</v>
      </c>
      <c r="E61" s="112" t="s">
        <v>2311</v>
      </c>
      <c r="F61" s="113" t="s">
        <v>8</v>
      </c>
      <c r="G61" s="119">
        <v>150</v>
      </c>
      <c r="H61" s="120">
        <f t="shared" si="0"/>
        <v>350</v>
      </c>
      <c r="I61" s="452">
        <f>+(1545+1990)/4</f>
        <v>883.75</v>
      </c>
      <c r="J61" s="490">
        <f t="shared" si="2"/>
        <v>1233.75</v>
      </c>
      <c r="K61" s="327"/>
      <c r="L61" s="328"/>
    </row>
    <row r="62" spans="1:12" ht="20.25" customHeight="1" x14ac:dyDescent="0.2">
      <c r="A62" s="114">
        <v>58</v>
      </c>
      <c r="B62" s="1" t="s">
        <v>2312</v>
      </c>
      <c r="C62" s="6" t="s">
        <v>2313</v>
      </c>
      <c r="D62" s="7" t="s">
        <v>934</v>
      </c>
      <c r="E62" s="2" t="s">
        <v>2311</v>
      </c>
      <c r="F62" s="99" t="s">
        <v>11</v>
      </c>
      <c r="G62" s="121">
        <v>150</v>
      </c>
      <c r="H62" s="122">
        <f t="shared" si="0"/>
        <v>350</v>
      </c>
      <c r="I62" s="450">
        <f>+(1545+1990)/4</f>
        <v>883.75</v>
      </c>
      <c r="J62" s="491">
        <f t="shared" si="2"/>
        <v>1233.75</v>
      </c>
      <c r="K62" s="323"/>
      <c r="L62" s="324"/>
    </row>
    <row r="63" spans="1:12" ht="20.25" customHeight="1" x14ac:dyDescent="0.2">
      <c r="A63" s="116">
        <v>59</v>
      </c>
      <c r="B63" s="46" t="s">
        <v>2314</v>
      </c>
      <c r="C63" s="29" t="s">
        <v>2315</v>
      </c>
      <c r="D63" s="28" t="s">
        <v>2316</v>
      </c>
      <c r="E63" s="30" t="s">
        <v>2311</v>
      </c>
      <c r="F63" s="73" t="s">
        <v>14</v>
      </c>
      <c r="G63" s="126">
        <v>150</v>
      </c>
      <c r="H63" s="127">
        <f t="shared" si="0"/>
        <v>350</v>
      </c>
      <c r="I63" s="294">
        <f>+(1545+1990)/4</f>
        <v>883.75</v>
      </c>
      <c r="J63" s="497">
        <f t="shared" si="2"/>
        <v>1233.75</v>
      </c>
      <c r="K63" s="333" t="s">
        <v>4996</v>
      </c>
      <c r="L63" s="334">
        <v>6280</v>
      </c>
    </row>
    <row r="64" spans="1:12" ht="20.25" customHeight="1" thickBot="1" x14ac:dyDescent="0.25">
      <c r="A64" s="158">
        <v>60</v>
      </c>
      <c r="B64" s="159" t="s">
        <v>2317</v>
      </c>
      <c r="C64" s="160" t="s">
        <v>2318</v>
      </c>
      <c r="D64" s="161" t="s">
        <v>2319</v>
      </c>
      <c r="E64" s="162" t="s">
        <v>2311</v>
      </c>
      <c r="F64" s="163" t="s">
        <v>17</v>
      </c>
      <c r="G64" s="164">
        <v>150</v>
      </c>
      <c r="H64" s="153">
        <f t="shared" si="0"/>
        <v>350</v>
      </c>
      <c r="I64" s="450">
        <f>+(1545+1990)/4</f>
        <v>883.75</v>
      </c>
      <c r="J64" s="492">
        <f t="shared" si="2"/>
        <v>1233.75</v>
      </c>
      <c r="K64" s="325"/>
      <c r="L64" s="326"/>
    </row>
    <row r="65" spans="1:12" ht="20.25" customHeight="1" x14ac:dyDescent="0.2">
      <c r="A65" s="108">
        <v>61</v>
      </c>
      <c r="B65" s="171" t="s">
        <v>2320</v>
      </c>
      <c r="C65" s="110" t="s">
        <v>2321</v>
      </c>
      <c r="D65" s="111" t="s">
        <v>2322</v>
      </c>
      <c r="E65" s="112" t="s">
        <v>2323</v>
      </c>
      <c r="F65" s="113" t="s">
        <v>8</v>
      </c>
      <c r="G65" s="119">
        <v>100</v>
      </c>
      <c r="H65" s="120">
        <f t="shared" si="0"/>
        <v>400</v>
      </c>
      <c r="I65" s="452">
        <f>+(680+640)/4</f>
        <v>330</v>
      </c>
      <c r="J65" s="490">
        <f t="shared" si="2"/>
        <v>730</v>
      </c>
      <c r="K65" s="327"/>
      <c r="L65" s="328"/>
    </row>
    <row r="66" spans="1:12" ht="20.25" customHeight="1" x14ac:dyDescent="0.2">
      <c r="A66" s="114">
        <v>62</v>
      </c>
      <c r="B66" s="1" t="s">
        <v>2324</v>
      </c>
      <c r="C66" s="6" t="s">
        <v>2325</v>
      </c>
      <c r="D66" s="7" t="s">
        <v>2326</v>
      </c>
      <c r="E66" s="2" t="s">
        <v>2323</v>
      </c>
      <c r="F66" s="99" t="s">
        <v>11</v>
      </c>
      <c r="G66" s="121">
        <v>50</v>
      </c>
      <c r="H66" s="122">
        <f t="shared" si="0"/>
        <v>450</v>
      </c>
      <c r="I66" s="450">
        <f>+(680+640)/4</f>
        <v>330</v>
      </c>
      <c r="J66" s="491">
        <f t="shared" si="2"/>
        <v>780</v>
      </c>
      <c r="K66" s="323"/>
      <c r="L66" s="324"/>
    </row>
    <row r="67" spans="1:12" ht="20.25" customHeight="1" x14ac:dyDescent="0.2">
      <c r="A67" s="114">
        <v>63</v>
      </c>
      <c r="B67" s="1" t="s">
        <v>2327</v>
      </c>
      <c r="C67" s="6" t="s">
        <v>2328</v>
      </c>
      <c r="D67" s="7" t="s">
        <v>2326</v>
      </c>
      <c r="E67" s="2" t="s">
        <v>2323</v>
      </c>
      <c r="F67" s="99" t="s">
        <v>14</v>
      </c>
      <c r="G67" s="121">
        <v>50</v>
      </c>
      <c r="H67" s="122">
        <f t="shared" si="0"/>
        <v>450</v>
      </c>
      <c r="I67" s="450">
        <f>+(680+640)/4</f>
        <v>330</v>
      </c>
      <c r="J67" s="491">
        <f t="shared" si="2"/>
        <v>780</v>
      </c>
      <c r="K67" s="323"/>
      <c r="L67" s="324"/>
    </row>
    <row r="68" spans="1:12" ht="20.25" customHeight="1" thickBot="1" x14ac:dyDescent="0.25">
      <c r="A68" s="158">
        <v>64</v>
      </c>
      <c r="B68" s="159" t="s">
        <v>2329</v>
      </c>
      <c r="C68" s="160" t="s">
        <v>2330</v>
      </c>
      <c r="D68" s="161" t="s">
        <v>2331</v>
      </c>
      <c r="E68" s="162" t="s">
        <v>2323</v>
      </c>
      <c r="F68" s="163" t="s">
        <v>17</v>
      </c>
      <c r="G68" s="164">
        <v>50</v>
      </c>
      <c r="H68" s="153">
        <f t="shared" ref="H68:H131" si="3">500-G68</f>
        <v>450</v>
      </c>
      <c r="I68" s="451">
        <f>+(680+640)/4</f>
        <v>330</v>
      </c>
      <c r="J68" s="492">
        <f t="shared" si="2"/>
        <v>780</v>
      </c>
      <c r="K68" s="325"/>
      <c r="L68" s="326"/>
    </row>
    <row r="69" spans="1:12" ht="20.25" customHeight="1" x14ac:dyDescent="0.2">
      <c r="A69" s="108">
        <v>65</v>
      </c>
      <c r="B69" s="171" t="s">
        <v>2332</v>
      </c>
      <c r="C69" s="110" t="s">
        <v>2333</v>
      </c>
      <c r="D69" s="111" t="s">
        <v>519</v>
      </c>
      <c r="E69" s="112" t="s">
        <v>2334</v>
      </c>
      <c r="F69" s="113" t="s">
        <v>8</v>
      </c>
      <c r="G69" s="119">
        <v>50</v>
      </c>
      <c r="H69" s="120">
        <f t="shared" si="3"/>
        <v>450</v>
      </c>
      <c r="I69" s="452">
        <f>+(260+740)/4</f>
        <v>250</v>
      </c>
      <c r="J69" s="490">
        <f t="shared" si="2"/>
        <v>700</v>
      </c>
      <c r="K69" s="327"/>
      <c r="L69" s="328"/>
    </row>
    <row r="70" spans="1:12" ht="20.25" customHeight="1" x14ac:dyDescent="0.2">
      <c r="A70" s="114">
        <v>66</v>
      </c>
      <c r="B70" s="1" t="s">
        <v>2335</v>
      </c>
      <c r="C70" s="6" t="s">
        <v>2336</v>
      </c>
      <c r="D70" s="7" t="s">
        <v>2337</v>
      </c>
      <c r="E70" s="2" t="s">
        <v>2334</v>
      </c>
      <c r="F70" s="99" t="s">
        <v>11</v>
      </c>
      <c r="G70" s="121">
        <v>50</v>
      </c>
      <c r="H70" s="122">
        <f t="shared" si="3"/>
        <v>450</v>
      </c>
      <c r="I70" s="450">
        <f>+(260+740)/4</f>
        <v>250</v>
      </c>
      <c r="J70" s="491">
        <f t="shared" si="2"/>
        <v>700</v>
      </c>
      <c r="K70" s="323"/>
      <c r="L70" s="324"/>
    </row>
    <row r="71" spans="1:12" ht="20.25" customHeight="1" x14ac:dyDescent="0.2">
      <c r="A71" s="114">
        <v>67</v>
      </c>
      <c r="B71" s="1" t="s">
        <v>2338</v>
      </c>
      <c r="C71" s="6" t="s">
        <v>2339</v>
      </c>
      <c r="D71" s="7" t="s">
        <v>2340</v>
      </c>
      <c r="E71" s="2" t="s">
        <v>2334</v>
      </c>
      <c r="F71" s="99" t="s">
        <v>14</v>
      </c>
      <c r="G71" s="121">
        <v>50</v>
      </c>
      <c r="H71" s="122">
        <f t="shared" si="3"/>
        <v>450</v>
      </c>
      <c r="I71" s="450">
        <f>+(260+740)/4</f>
        <v>250</v>
      </c>
      <c r="J71" s="491">
        <f t="shared" si="2"/>
        <v>700</v>
      </c>
      <c r="K71" s="323"/>
      <c r="L71" s="324"/>
    </row>
    <row r="72" spans="1:12" ht="20.25" customHeight="1" thickBot="1" x14ac:dyDescent="0.25">
      <c r="A72" s="158">
        <v>68</v>
      </c>
      <c r="B72" s="159" t="s">
        <v>2341</v>
      </c>
      <c r="C72" s="160" t="s">
        <v>2342</v>
      </c>
      <c r="D72" s="161" t="s">
        <v>2343</v>
      </c>
      <c r="E72" s="162" t="s">
        <v>2334</v>
      </c>
      <c r="F72" s="163" t="s">
        <v>17</v>
      </c>
      <c r="G72" s="164">
        <v>50</v>
      </c>
      <c r="H72" s="153">
        <f t="shared" si="3"/>
        <v>450</v>
      </c>
      <c r="I72" s="451">
        <f>+(260+740)/4</f>
        <v>250</v>
      </c>
      <c r="J72" s="492">
        <f t="shared" si="2"/>
        <v>700</v>
      </c>
      <c r="K72" s="325"/>
      <c r="L72" s="326"/>
    </row>
    <row r="73" spans="1:12" ht="20.25" customHeight="1" x14ac:dyDescent="0.2">
      <c r="A73" s="108">
        <v>69</v>
      </c>
      <c r="B73" s="174" t="s">
        <v>4967</v>
      </c>
      <c r="C73" s="175" t="s">
        <v>4889</v>
      </c>
      <c r="D73" s="176" t="s">
        <v>4890</v>
      </c>
      <c r="E73" s="177" t="s">
        <v>2347</v>
      </c>
      <c r="F73" s="178" t="s">
        <v>8</v>
      </c>
      <c r="G73" s="179">
        <v>50</v>
      </c>
      <c r="H73" s="120">
        <f t="shared" si="3"/>
        <v>450</v>
      </c>
      <c r="I73" s="452">
        <f>+(380+800)/4</f>
        <v>295</v>
      </c>
      <c r="J73" s="490">
        <f t="shared" si="2"/>
        <v>745</v>
      </c>
      <c r="K73" s="327"/>
      <c r="L73" s="328"/>
    </row>
    <row r="74" spans="1:12" ht="20.25" customHeight="1" x14ac:dyDescent="0.2">
      <c r="A74" s="114">
        <v>70</v>
      </c>
      <c r="B74" s="47" t="s">
        <v>2344</v>
      </c>
      <c r="C74" s="10" t="s">
        <v>2345</v>
      </c>
      <c r="D74" s="11" t="s">
        <v>2346</v>
      </c>
      <c r="E74" s="5" t="s">
        <v>2347</v>
      </c>
      <c r="F74" s="100" t="s">
        <v>11</v>
      </c>
      <c r="G74" s="125">
        <v>100</v>
      </c>
      <c r="H74" s="122">
        <f t="shared" si="3"/>
        <v>400</v>
      </c>
      <c r="I74" s="450">
        <f>+(380+800)/4</f>
        <v>295</v>
      </c>
      <c r="J74" s="491">
        <f t="shared" si="2"/>
        <v>695</v>
      </c>
      <c r="K74" s="323"/>
      <c r="L74" s="324"/>
    </row>
    <row r="75" spans="1:12" ht="20.25" customHeight="1" x14ac:dyDescent="0.2">
      <c r="A75" s="114">
        <v>71</v>
      </c>
      <c r="B75" s="47" t="s">
        <v>2348</v>
      </c>
      <c r="C75" s="10" t="s">
        <v>2349</v>
      </c>
      <c r="D75" s="11" t="s">
        <v>2350</v>
      </c>
      <c r="E75" s="5" t="s">
        <v>2347</v>
      </c>
      <c r="F75" s="100" t="s">
        <v>14</v>
      </c>
      <c r="G75" s="125">
        <v>100</v>
      </c>
      <c r="H75" s="122">
        <f t="shared" si="3"/>
        <v>400</v>
      </c>
      <c r="I75" s="450">
        <f>+(380+800)/4</f>
        <v>295</v>
      </c>
      <c r="J75" s="491">
        <f t="shared" si="2"/>
        <v>695</v>
      </c>
      <c r="K75" s="323"/>
      <c r="L75" s="324"/>
    </row>
    <row r="76" spans="1:12" ht="20.25" customHeight="1" thickBot="1" x14ac:dyDescent="0.25">
      <c r="A76" s="158">
        <v>72</v>
      </c>
      <c r="B76" s="192" t="s">
        <v>2351</v>
      </c>
      <c r="C76" s="193" t="s">
        <v>2352</v>
      </c>
      <c r="D76" s="194" t="s">
        <v>2353</v>
      </c>
      <c r="E76" s="195" t="s">
        <v>2347</v>
      </c>
      <c r="F76" s="196" t="s">
        <v>17</v>
      </c>
      <c r="G76" s="197">
        <v>100</v>
      </c>
      <c r="H76" s="153">
        <f t="shared" si="3"/>
        <v>400</v>
      </c>
      <c r="I76" s="451">
        <f>+(380+800)/4</f>
        <v>295</v>
      </c>
      <c r="J76" s="492">
        <f t="shared" si="2"/>
        <v>695</v>
      </c>
      <c r="K76" s="325"/>
      <c r="L76" s="326"/>
    </row>
    <row r="77" spans="1:12" ht="20.25" customHeight="1" x14ac:dyDescent="0.2">
      <c r="A77" s="108">
        <v>73</v>
      </c>
      <c r="B77" s="171" t="s">
        <v>2354</v>
      </c>
      <c r="C77" s="110" t="s">
        <v>2355</v>
      </c>
      <c r="D77" s="111" t="s">
        <v>2356</v>
      </c>
      <c r="E77" s="112" t="s">
        <v>2357</v>
      </c>
      <c r="F77" s="113" t="s">
        <v>8</v>
      </c>
      <c r="G77" s="119">
        <v>150</v>
      </c>
      <c r="H77" s="120">
        <f t="shared" si="3"/>
        <v>350</v>
      </c>
      <c r="I77" s="452">
        <f>+(600+1465)/4</f>
        <v>516.25</v>
      </c>
      <c r="J77" s="490">
        <f t="shared" si="2"/>
        <v>866.25</v>
      </c>
      <c r="K77" s="327"/>
      <c r="L77" s="328"/>
    </row>
    <row r="78" spans="1:12" ht="20.25" customHeight="1" x14ac:dyDescent="0.2">
      <c r="A78" s="114">
        <v>74</v>
      </c>
      <c r="B78" s="1" t="s">
        <v>2358</v>
      </c>
      <c r="C78" s="6" t="s">
        <v>2146</v>
      </c>
      <c r="D78" s="7" t="s">
        <v>2359</v>
      </c>
      <c r="E78" s="2" t="s">
        <v>2357</v>
      </c>
      <c r="F78" s="99" t="s">
        <v>11</v>
      </c>
      <c r="G78" s="121">
        <v>150</v>
      </c>
      <c r="H78" s="122">
        <f t="shared" si="3"/>
        <v>350</v>
      </c>
      <c r="I78" s="450">
        <f>+(600+1465)/4</f>
        <v>516.25</v>
      </c>
      <c r="J78" s="491">
        <f t="shared" si="2"/>
        <v>866.25</v>
      </c>
      <c r="K78" s="323"/>
      <c r="L78" s="324"/>
    </row>
    <row r="79" spans="1:12" ht="20.25" customHeight="1" x14ac:dyDescent="0.2">
      <c r="A79" s="114">
        <v>75</v>
      </c>
      <c r="B79" s="1" t="s">
        <v>2360</v>
      </c>
      <c r="C79" s="6" t="s">
        <v>2361</v>
      </c>
      <c r="D79" s="7" t="s">
        <v>2362</v>
      </c>
      <c r="E79" s="2" t="s">
        <v>2357</v>
      </c>
      <c r="F79" s="99" t="s">
        <v>14</v>
      </c>
      <c r="G79" s="121">
        <v>100</v>
      </c>
      <c r="H79" s="122">
        <f t="shared" si="3"/>
        <v>400</v>
      </c>
      <c r="I79" s="450">
        <f>+(600+1465)/4</f>
        <v>516.25</v>
      </c>
      <c r="J79" s="491">
        <f t="shared" si="2"/>
        <v>916.25</v>
      </c>
      <c r="K79" s="323"/>
      <c r="L79" s="324"/>
    </row>
    <row r="80" spans="1:12" ht="20.25" customHeight="1" thickBot="1" x14ac:dyDescent="0.25">
      <c r="A80" s="158">
        <v>76</v>
      </c>
      <c r="B80" s="159" t="s">
        <v>2363</v>
      </c>
      <c r="C80" s="160" t="s">
        <v>2364</v>
      </c>
      <c r="D80" s="161" t="s">
        <v>2365</v>
      </c>
      <c r="E80" s="162" t="s">
        <v>2357</v>
      </c>
      <c r="F80" s="163" t="s">
        <v>17</v>
      </c>
      <c r="G80" s="164">
        <v>100</v>
      </c>
      <c r="H80" s="153">
        <f t="shared" si="3"/>
        <v>400</v>
      </c>
      <c r="I80" s="451">
        <f>+(600+1465)/4</f>
        <v>516.25</v>
      </c>
      <c r="J80" s="492">
        <f t="shared" si="2"/>
        <v>916.25</v>
      </c>
      <c r="K80" s="325"/>
      <c r="L80" s="326"/>
    </row>
    <row r="81" spans="1:12" ht="20.25" customHeight="1" x14ac:dyDescent="0.2">
      <c r="A81" s="108">
        <v>77</v>
      </c>
      <c r="B81" s="171" t="s">
        <v>2366</v>
      </c>
      <c r="C81" s="110" t="s">
        <v>2367</v>
      </c>
      <c r="D81" s="111" t="s">
        <v>2368</v>
      </c>
      <c r="E81" s="112" t="s">
        <v>2369</v>
      </c>
      <c r="F81" s="113" t="s">
        <v>8</v>
      </c>
      <c r="G81" s="119">
        <v>150</v>
      </c>
      <c r="H81" s="120">
        <f t="shared" si="3"/>
        <v>350</v>
      </c>
      <c r="I81" s="452">
        <f>+(530+470)/4</f>
        <v>250</v>
      </c>
      <c r="J81" s="490">
        <f t="shared" ref="J81:J144" si="4">SUM(H81:I81)</f>
        <v>600</v>
      </c>
      <c r="K81" s="327"/>
      <c r="L81" s="328"/>
    </row>
    <row r="82" spans="1:12" ht="20.25" customHeight="1" x14ac:dyDescent="0.2">
      <c r="A82" s="114">
        <v>78</v>
      </c>
      <c r="B82" s="1" t="s">
        <v>2370</v>
      </c>
      <c r="C82" s="6" t="s">
        <v>2371</v>
      </c>
      <c r="D82" s="7" t="s">
        <v>2372</v>
      </c>
      <c r="E82" s="2" t="s">
        <v>2369</v>
      </c>
      <c r="F82" s="99" t="s">
        <v>11</v>
      </c>
      <c r="G82" s="121">
        <v>150</v>
      </c>
      <c r="H82" s="122">
        <f t="shared" si="3"/>
        <v>350</v>
      </c>
      <c r="I82" s="450">
        <f>+(530+470)/4</f>
        <v>250</v>
      </c>
      <c r="J82" s="491">
        <f t="shared" si="4"/>
        <v>600</v>
      </c>
      <c r="K82" s="323"/>
      <c r="L82" s="324"/>
    </row>
    <row r="83" spans="1:12" ht="20.25" customHeight="1" x14ac:dyDescent="0.2">
      <c r="A83" s="114">
        <v>79</v>
      </c>
      <c r="B83" s="1" t="s">
        <v>2373</v>
      </c>
      <c r="C83" s="6" t="s">
        <v>2374</v>
      </c>
      <c r="D83" s="7" t="s">
        <v>2375</v>
      </c>
      <c r="E83" s="2" t="s">
        <v>2369</v>
      </c>
      <c r="F83" s="99" t="s">
        <v>14</v>
      </c>
      <c r="G83" s="121">
        <v>150</v>
      </c>
      <c r="H83" s="122">
        <f t="shared" si="3"/>
        <v>350</v>
      </c>
      <c r="I83" s="450">
        <f>+(530+470)/4</f>
        <v>250</v>
      </c>
      <c r="J83" s="491">
        <f t="shared" si="4"/>
        <v>600</v>
      </c>
      <c r="K83" s="323"/>
      <c r="L83" s="324"/>
    </row>
    <row r="84" spans="1:12" ht="20.25" customHeight="1" thickBot="1" x14ac:dyDescent="0.25">
      <c r="A84" s="158">
        <v>80</v>
      </c>
      <c r="B84" s="159" t="s">
        <v>2376</v>
      </c>
      <c r="C84" s="160" t="s">
        <v>2377</v>
      </c>
      <c r="D84" s="161" t="s">
        <v>2378</v>
      </c>
      <c r="E84" s="162" t="s">
        <v>2369</v>
      </c>
      <c r="F84" s="163" t="s">
        <v>17</v>
      </c>
      <c r="G84" s="164">
        <v>200</v>
      </c>
      <c r="H84" s="153">
        <f t="shared" si="3"/>
        <v>300</v>
      </c>
      <c r="I84" s="451">
        <f>+(530+470)/4</f>
        <v>250</v>
      </c>
      <c r="J84" s="492">
        <f t="shared" si="4"/>
        <v>550</v>
      </c>
      <c r="K84" s="325"/>
      <c r="L84" s="326"/>
    </row>
    <row r="85" spans="1:12" ht="20.25" customHeight="1" x14ac:dyDescent="0.2">
      <c r="A85" s="108">
        <v>81</v>
      </c>
      <c r="B85" s="171" t="s">
        <v>2379</v>
      </c>
      <c r="C85" s="110" t="s">
        <v>2380</v>
      </c>
      <c r="D85" s="111" t="s">
        <v>2381</v>
      </c>
      <c r="E85" s="112" t="s">
        <v>2382</v>
      </c>
      <c r="F85" s="113" t="s">
        <v>8</v>
      </c>
      <c r="G85" s="119">
        <v>100</v>
      </c>
      <c r="H85" s="120">
        <f t="shared" si="3"/>
        <v>400</v>
      </c>
      <c r="I85" s="452">
        <f>+(0+395)/4</f>
        <v>98.75</v>
      </c>
      <c r="J85" s="490">
        <f t="shared" si="4"/>
        <v>498.75</v>
      </c>
      <c r="K85" s="327"/>
      <c r="L85" s="328"/>
    </row>
    <row r="86" spans="1:12" s="37" customFormat="1" ht="20.25" customHeight="1" x14ac:dyDescent="0.2">
      <c r="A86" s="116">
        <v>82</v>
      </c>
      <c r="B86" s="46" t="s">
        <v>2383</v>
      </c>
      <c r="C86" s="29" t="s">
        <v>2384</v>
      </c>
      <c r="D86" s="28" t="s">
        <v>2385</v>
      </c>
      <c r="E86" s="30" t="s">
        <v>2382</v>
      </c>
      <c r="F86" s="73" t="s">
        <v>11</v>
      </c>
      <c r="G86" s="126">
        <v>100</v>
      </c>
      <c r="H86" s="127">
        <f t="shared" si="3"/>
        <v>400</v>
      </c>
      <c r="I86" s="294">
        <f>+(0+395)/4</f>
        <v>98.75</v>
      </c>
      <c r="J86" s="497">
        <f t="shared" si="4"/>
        <v>498.75</v>
      </c>
      <c r="K86" s="333" t="s">
        <v>4996</v>
      </c>
      <c r="L86" s="334">
        <v>5500</v>
      </c>
    </row>
    <row r="87" spans="1:12" ht="20.25" customHeight="1" x14ac:dyDescent="0.2">
      <c r="A87" s="114">
        <v>83</v>
      </c>
      <c r="B87" s="1" t="s">
        <v>2386</v>
      </c>
      <c r="C87" s="6" t="s">
        <v>2387</v>
      </c>
      <c r="D87" s="7" t="s">
        <v>2388</v>
      </c>
      <c r="E87" s="2" t="s">
        <v>2382</v>
      </c>
      <c r="F87" s="99" t="s">
        <v>14</v>
      </c>
      <c r="G87" s="121">
        <v>200</v>
      </c>
      <c r="H87" s="122">
        <f t="shared" si="3"/>
        <v>300</v>
      </c>
      <c r="I87" s="450">
        <f>+(0+395)/4</f>
        <v>98.75</v>
      </c>
      <c r="J87" s="491">
        <f t="shared" si="4"/>
        <v>398.75</v>
      </c>
      <c r="K87" s="323"/>
      <c r="L87" s="324"/>
    </row>
    <row r="88" spans="1:12" ht="20.25" customHeight="1" thickBot="1" x14ac:dyDescent="0.25">
      <c r="A88" s="158">
        <v>84</v>
      </c>
      <c r="B88" s="159" t="s">
        <v>2389</v>
      </c>
      <c r="C88" s="160" t="s">
        <v>2390</v>
      </c>
      <c r="D88" s="161" t="s">
        <v>2391</v>
      </c>
      <c r="E88" s="162" t="s">
        <v>2382</v>
      </c>
      <c r="F88" s="163" t="s">
        <v>17</v>
      </c>
      <c r="G88" s="164">
        <v>100</v>
      </c>
      <c r="H88" s="153">
        <f t="shared" si="3"/>
        <v>400</v>
      </c>
      <c r="I88" s="450">
        <f>+(0+395)/4</f>
        <v>98.75</v>
      </c>
      <c r="J88" s="492">
        <f t="shared" si="4"/>
        <v>498.75</v>
      </c>
      <c r="K88" s="325"/>
      <c r="L88" s="326"/>
    </row>
    <row r="89" spans="1:12" ht="20.25" customHeight="1" x14ac:dyDescent="0.2">
      <c r="A89" s="108">
        <v>85</v>
      </c>
      <c r="B89" s="171" t="s">
        <v>2392</v>
      </c>
      <c r="C89" s="110" t="s">
        <v>2393</v>
      </c>
      <c r="D89" s="111" t="s">
        <v>2394</v>
      </c>
      <c r="E89" s="112" t="s">
        <v>2395</v>
      </c>
      <c r="F89" s="113" t="s">
        <v>8</v>
      </c>
      <c r="G89" s="119">
        <v>50</v>
      </c>
      <c r="H89" s="120">
        <f t="shared" si="3"/>
        <v>450</v>
      </c>
      <c r="I89" s="452">
        <f>+(210-550)/4</f>
        <v>-85</v>
      </c>
      <c r="J89" s="490">
        <f t="shared" si="4"/>
        <v>365</v>
      </c>
      <c r="K89" s="327"/>
      <c r="L89" s="328"/>
    </row>
    <row r="90" spans="1:12" ht="20.25" customHeight="1" x14ac:dyDescent="0.2">
      <c r="A90" s="114">
        <v>86</v>
      </c>
      <c r="B90" s="1" t="s">
        <v>2396</v>
      </c>
      <c r="C90" s="6" t="s">
        <v>2397</v>
      </c>
      <c r="D90" s="7" t="s">
        <v>2398</v>
      </c>
      <c r="E90" s="2" t="s">
        <v>2395</v>
      </c>
      <c r="F90" s="99" t="s">
        <v>11</v>
      </c>
      <c r="G90" s="121">
        <v>100</v>
      </c>
      <c r="H90" s="122">
        <f t="shared" si="3"/>
        <v>400</v>
      </c>
      <c r="I90" s="450">
        <f>+(210-550)/4</f>
        <v>-85</v>
      </c>
      <c r="J90" s="491">
        <f t="shared" si="4"/>
        <v>315</v>
      </c>
      <c r="K90" s="323"/>
      <c r="L90" s="324"/>
    </row>
    <row r="91" spans="1:12" ht="20.25" customHeight="1" x14ac:dyDescent="0.2">
      <c r="A91" s="114">
        <v>87</v>
      </c>
      <c r="B91" s="1" t="s">
        <v>2399</v>
      </c>
      <c r="C91" s="6" t="s">
        <v>2400</v>
      </c>
      <c r="D91" s="7" t="s">
        <v>2401</v>
      </c>
      <c r="E91" s="2" t="s">
        <v>2395</v>
      </c>
      <c r="F91" s="99" t="s">
        <v>14</v>
      </c>
      <c r="G91" s="121">
        <v>150</v>
      </c>
      <c r="H91" s="122">
        <f t="shared" si="3"/>
        <v>350</v>
      </c>
      <c r="I91" s="450">
        <f>+(210-550)/4</f>
        <v>-85</v>
      </c>
      <c r="J91" s="491">
        <f t="shared" si="4"/>
        <v>265</v>
      </c>
      <c r="K91" s="323"/>
      <c r="L91" s="324"/>
    </row>
    <row r="92" spans="1:12" s="37" customFormat="1" ht="20.25" customHeight="1" thickBot="1" x14ac:dyDescent="0.25">
      <c r="A92" s="147">
        <v>88</v>
      </c>
      <c r="B92" s="148" t="s">
        <v>2402</v>
      </c>
      <c r="C92" s="198" t="s">
        <v>2403</v>
      </c>
      <c r="D92" s="150" t="s">
        <v>2404</v>
      </c>
      <c r="E92" s="151" t="s">
        <v>2395</v>
      </c>
      <c r="F92" s="149" t="s">
        <v>17</v>
      </c>
      <c r="G92" s="152">
        <v>150</v>
      </c>
      <c r="H92" s="247">
        <f t="shared" si="3"/>
        <v>350</v>
      </c>
      <c r="I92" s="294">
        <f>+(210-550)/4</f>
        <v>-85</v>
      </c>
      <c r="J92" s="495">
        <f t="shared" si="4"/>
        <v>265</v>
      </c>
      <c r="K92" s="331" t="s">
        <v>4996</v>
      </c>
      <c r="L92" s="332">
        <v>6280</v>
      </c>
    </row>
    <row r="93" spans="1:12" ht="20.25" customHeight="1" x14ac:dyDescent="0.2">
      <c r="A93" s="108">
        <v>89</v>
      </c>
      <c r="B93" s="171" t="s">
        <v>2405</v>
      </c>
      <c r="C93" s="110" t="s">
        <v>2406</v>
      </c>
      <c r="D93" s="111" t="s">
        <v>2407</v>
      </c>
      <c r="E93" s="112" t="s">
        <v>2408</v>
      </c>
      <c r="F93" s="113" t="s">
        <v>8</v>
      </c>
      <c r="G93" s="119">
        <v>50</v>
      </c>
      <c r="H93" s="120">
        <f t="shared" si="3"/>
        <v>450</v>
      </c>
      <c r="I93" s="452">
        <f>+(285+440)/4</f>
        <v>181.25</v>
      </c>
      <c r="J93" s="490">
        <f t="shared" si="4"/>
        <v>631.25</v>
      </c>
      <c r="K93" s="327"/>
      <c r="L93" s="328"/>
    </row>
    <row r="94" spans="1:12" ht="20.25" customHeight="1" x14ac:dyDescent="0.2">
      <c r="A94" s="114">
        <v>90</v>
      </c>
      <c r="B94" s="1" t="s">
        <v>2409</v>
      </c>
      <c r="C94" s="6" t="s">
        <v>2410</v>
      </c>
      <c r="D94" s="7" t="s">
        <v>2411</v>
      </c>
      <c r="E94" s="2" t="s">
        <v>2408</v>
      </c>
      <c r="F94" s="99" t="s">
        <v>11</v>
      </c>
      <c r="G94" s="121">
        <v>50</v>
      </c>
      <c r="H94" s="122">
        <f t="shared" si="3"/>
        <v>450</v>
      </c>
      <c r="I94" s="450">
        <f>+(285+440)/4</f>
        <v>181.25</v>
      </c>
      <c r="J94" s="491">
        <f t="shared" si="4"/>
        <v>631.25</v>
      </c>
      <c r="K94" s="323"/>
      <c r="L94" s="324"/>
    </row>
    <row r="95" spans="1:12" ht="20.25" customHeight="1" x14ac:dyDescent="0.2">
      <c r="A95" s="114">
        <v>91</v>
      </c>
      <c r="B95" s="1" t="s">
        <v>2412</v>
      </c>
      <c r="C95" s="6" t="s">
        <v>2413</v>
      </c>
      <c r="D95" s="7" t="s">
        <v>2414</v>
      </c>
      <c r="E95" s="2" t="s">
        <v>2408</v>
      </c>
      <c r="F95" s="99" t="s">
        <v>14</v>
      </c>
      <c r="G95" s="121">
        <v>50</v>
      </c>
      <c r="H95" s="122">
        <f t="shared" si="3"/>
        <v>450</v>
      </c>
      <c r="I95" s="450">
        <f>+(285+440)/4</f>
        <v>181.25</v>
      </c>
      <c r="J95" s="491">
        <f t="shared" si="4"/>
        <v>631.25</v>
      </c>
      <c r="K95" s="323"/>
      <c r="L95" s="324"/>
    </row>
    <row r="96" spans="1:12" ht="20.25" customHeight="1" thickBot="1" x14ac:dyDescent="0.25">
      <c r="A96" s="158">
        <v>92</v>
      </c>
      <c r="B96" s="159" t="s">
        <v>2415</v>
      </c>
      <c r="C96" s="160" t="s">
        <v>2416</v>
      </c>
      <c r="D96" s="161" t="s">
        <v>2417</v>
      </c>
      <c r="E96" s="162" t="s">
        <v>2408</v>
      </c>
      <c r="F96" s="163" t="s">
        <v>17</v>
      </c>
      <c r="G96" s="164">
        <v>100</v>
      </c>
      <c r="H96" s="153">
        <f t="shared" si="3"/>
        <v>400</v>
      </c>
      <c r="I96" s="450">
        <f>+(285+440)/4</f>
        <v>181.25</v>
      </c>
      <c r="J96" s="492">
        <f t="shared" si="4"/>
        <v>581.25</v>
      </c>
      <c r="K96" s="325"/>
      <c r="L96" s="326"/>
    </row>
    <row r="97" spans="1:12" ht="20.25" customHeight="1" x14ac:dyDescent="0.2">
      <c r="A97" s="320">
        <v>93</v>
      </c>
      <c r="B97" s="205"/>
      <c r="C97" s="206" t="s">
        <v>4946</v>
      </c>
      <c r="D97" s="207"/>
      <c r="E97" s="208" t="s">
        <v>2421</v>
      </c>
      <c r="F97" s="206" t="s">
        <v>8</v>
      </c>
      <c r="G97" s="209"/>
      <c r="H97" s="210"/>
      <c r="I97" s="288"/>
      <c r="J97" s="498">
        <f t="shared" si="4"/>
        <v>0</v>
      </c>
      <c r="K97" s="335" t="s">
        <v>4946</v>
      </c>
      <c r="L97" s="328"/>
    </row>
    <row r="98" spans="1:12" ht="20.25" customHeight="1" x14ac:dyDescent="0.2">
      <c r="A98" s="114">
        <v>94</v>
      </c>
      <c r="B98" s="47" t="s">
        <v>2418</v>
      </c>
      <c r="C98" s="10" t="s">
        <v>2419</v>
      </c>
      <c r="D98" s="11" t="s">
        <v>2420</v>
      </c>
      <c r="E98" s="5" t="s">
        <v>2421</v>
      </c>
      <c r="F98" s="100" t="s">
        <v>11</v>
      </c>
      <c r="G98" s="125">
        <v>50</v>
      </c>
      <c r="H98" s="122">
        <f t="shared" si="3"/>
        <v>450</v>
      </c>
      <c r="I98" s="450">
        <f>+(1505+1495)/3</f>
        <v>1000</v>
      </c>
      <c r="J98" s="491">
        <f t="shared" si="4"/>
        <v>1450</v>
      </c>
      <c r="K98" s="323"/>
      <c r="L98" s="324"/>
    </row>
    <row r="99" spans="1:12" ht="20.25" customHeight="1" x14ac:dyDescent="0.2">
      <c r="A99" s="114">
        <v>95</v>
      </c>
      <c r="B99" s="47" t="s">
        <v>2422</v>
      </c>
      <c r="C99" s="10" t="s">
        <v>2423</v>
      </c>
      <c r="D99" s="11" t="s">
        <v>2424</v>
      </c>
      <c r="E99" s="5" t="s">
        <v>2421</v>
      </c>
      <c r="F99" s="100" t="s">
        <v>14</v>
      </c>
      <c r="G99" s="125">
        <v>150</v>
      </c>
      <c r="H99" s="122">
        <f t="shared" si="3"/>
        <v>350</v>
      </c>
      <c r="I99" s="450">
        <f>+(1505+1495)/3</f>
        <v>1000</v>
      </c>
      <c r="J99" s="491">
        <f t="shared" si="4"/>
        <v>1350</v>
      </c>
      <c r="K99" s="323"/>
      <c r="L99" s="324"/>
    </row>
    <row r="100" spans="1:12" ht="20.25" customHeight="1" thickBot="1" x14ac:dyDescent="0.25">
      <c r="A100" s="158">
        <v>96</v>
      </c>
      <c r="B100" s="192" t="s">
        <v>2425</v>
      </c>
      <c r="C100" s="193" t="s">
        <v>2426</v>
      </c>
      <c r="D100" s="194" t="s">
        <v>2427</v>
      </c>
      <c r="E100" s="195" t="s">
        <v>2421</v>
      </c>
      <c r="F100" s="196" t="s">
        <v>17</v>
      </c>
      <c r="G100" s="197">
        <v>50</v>
      </c>
      <c r="H100" s="153">
        <f t="shared" si="3"/>
        <v>450</v>
      </c>
      <c r="I100" s="450">
        <f>+(1505+1495)/3</f>
        <v>1000</v>
      </c>
      <c r="J100" s="492">
        <f t="shared" si="4"/>
        <v>1450</v>
      </c>
      <c r="K100" s="325"/>
      <c r="L100" s="326"/>
    </row>
    <row r="101" spans="1:12" ht="20.25" customHeight="1" x14ac:dyDescent="0.2">
      <c r="A101" s="108">
        <v>97</v>
      </c>
      <c r="B101" s="174" t="s">
        <v>2428</v>
      </c>
      <c r="C101" s="175" t="s">
        <v>2429</v>
      </c>
      <c r="D101" s="176" t="s">
        <v>2430</v>
      </c>
      <c r="E101" s="177" t="s">
        <v>2431</v>
      </c>
      <c r="F101" s="178" t="s">
        <v>8</v>
      </c>
      <c r="G101" s="179">
        <v>50</v>
      </c>
      <c r="H101" s="120">
        <f t="shared" si="3"/>
        <v>450</v>
      </c>
      <c r="I101" s="452">
        <f>+(1080+1295)/4</f>
        <v>593.75</v>
      </c>
      <c r="J101" s="490">
        <f t="shared" si="4"/>
        <v>1043.75</v>
      </c>
      <c r="K101" s="327"/>
      <c r="L101" s="328"/>
    </row>
    <row r="102" spans="1:12" ht="20.25" customHeight="1" x14ac:dyDescent="0.2">
      <c r="A102" s="114">
        <v>98</v>
      </c>
      <c r="B102" s="47" t="s">
        <v>2432</v>
      </c>
      <c r="C102" s="10" t="s">
        <v>2433</v>
      </c>
      <c r="D102" s="11" t="s">
        <v>2434</v>
      </c>
      <c r="E102" s="5" t="s">
        <v>2431</v>
      </c>
      <c r="F102" s="100" t="s">
        <v>11</v>
      </c>
      <c r="G102" s="125">
        <v>50</v>
      </c>
      <c r="H102" s="122">
        <f t="shared" si="3"/>
        <v>450</v>
      </c>
      <c r="I102" s="450">
        <f>+(1080+1295)/4</f>
        <v>593.75</v>
      </c>
      <c r="J102" s="491">
        <f t="shared" si="4"/>
        <v>1043.75</v>
      </c>
      <c r="K102" s="323"/>
      <c r="L102" s="324"/>
    </row>
    <row r="103" spans="1:12" ht="20.25" customHeight="1" x14ac:dyDescent="0.2">
      <c r="A103" s="114">
        <v>99</v>
      </c>
      <c r="B103" s="47" t="s">
        <v>4968</v>
      </c>
      <c r="C103" s="10" t="s">
        <v>2610</v>
      </c>
      <c r="D103" s="11" t="s">
        <v>4891</v>
      </c>
      <c r="E103" s="5" t="s">
        <v>2431</v>
      </c>
      <c r="F103" s="100" t="s">
        <v>14</v>
      </c>
      <c r="G103" s="125">
        <v>150</v>
      </c>
      <c r="H103" s="122">
        <f t="shared" si="3"/>
        <v>350</v>
      </c>
      <c r="I103" s="450">
        <f>+(1080+1295)/4</f>
        <v>593.75</v>
      </c>
      <c r="J103" s="491">
        <f t="shared" si="4"/>
        <v>943.75</v>
      </c>
      <c r="K103" s="323"/>
      <c r="L103" s="324"/>
    </row>
    <row r="104" spans="1:12" ht="20.25" customHeight="1" thickBot="1" x14ac:dyDescent="0.25">
      <c r="A104" s="158">
        <v>100</v>
      </c>
      <c r="B104" s="192" t="s">
        <v>2435</v>
      </c>
      <c r="C104" s="193" t="s">
        <v>2436</v>
      </c>
      <c r="D104" s="194" t="s">
        <v>2437</v>
      </c>
      <c r="E104" s="195" t="s">
        <v>2431</v>
      </c>
      <c r="F104" s="196" t="s">
        <v>17</v>
      </c>
      <c r="G104" s="197">
        <v>50</v>
      </c>
      <c r="H104" s="153">
        <f t="shared" si="3"/>
        <v>450</v>
      </c>
      <c r="I104" s="450">
        <f>+(1080+1295)/4</f>
        <v>593.75</v>
      </c>
      <c r="J104" s="492">
        <f t="shared" si="4"/>
        <v>1043.75</v>
      </c>
      <c r="K104" s="325"/>
      <c r="L104" s="326"/>
    </row>
    <row r="105" spans="1:12" ht="20.25" customHeight="1" x14ac:dyDescent="0.2">
      <c r="A105" s="108">
        <v>101</v>
      </c>
      <c r="B105" s="171" t="s">
        <v>2438</v>
      </c>
      <c r="C105" s="110" t="s">
        <v>2439</v>
      </c>
      <c r="D105" s="111" t="s">
        <v>2440</v>
      </c>
      <c r="E105" s="112" t="s">
        <v>2441</v>
      </c>
      <c r="F105" s="113" t="s">
        <v>8</v>
      </c>
      <c r="G105" s="119">
        <v>100</v>
      </c>
      <c r="H105" s="120">
        <f t="shared" si="3"/>
        <v>400</v>
      </c>
      <c r="I105" s="452">
        <f>+(800+780)/4</f>
        <v>395</v>
      </c>
      <c r="J105" s="490">
        <f t="shared" si="4"/>
        <v>795</v>
      </c>
      <c r="K105" s="327"/>
      <c r="L105" s="328"/>
    </row>
    <row r="106" spans="1:12" ht="20.25" customHeight="1" x14ac:dyDescent="0.2">
      <c r="A106" s="114">
        <v>102</v>
      </c>
      <c r="B106" s="1" t="s">
        <v>2442</v>
      </c>
      <c r="C106" s="6" t="s">
        <v>2443</v>
      </c>
      <c r="D106" s="7" t="s">
        <v>2444</v>
      </c>
      <c r="E106" s="2" t="s">
        <v>2441</v>
      </c>
      <c r="F106" s="99" t="s">
        <v>11</v>
      </c>
      <c r="G106" s="121">
        <v>400</v>
      </c>
      <c r="H106" s="122">
        <f t="shared" si="3"/>
        <v>100</v>
      </c>
      <c r="I106" s="450">
        <f>+(800+780)/4</f>
        <v>395</v>
      </c>
      <c r="J106" s="491">
        <f t="shared" si="4"/>
        <v>495</v>
      </c>
      <c r="K106" s="323"/>
      <c r="L106" s="324"/>
    </row>
    <row r="107" spans="1:12" ht="20.25" customHeight="1" x14ac:dyDescent="0.2">
      <c r="A107" s="114">
        <v>103</v>
      </c>
      <c r="B107" s="1" t="s">
        <v>2445</v>
      </c>
      <c r="C107" s="6" t="s">
        <v>2446</v>
      </c>
      <c r="D107" s="7" t="s">
        <v>2447</v>
      </c>
      <c r="E107" s="2" t="s">
        <v>2441</v>
      </c>
      <c r="F107" s="99" t="s">
        <v>14</v>
      </c>
      <c r="G107" s="121">
        <v>100</v>
      </c>
      <c r="H107" s="122">
        <f t="shared" si="3"/>
        <v>400</v>
      </c>
      <c r="I107" s="450">
        <f>+(800+780)/4</f>
        <v>395</v>
      </c>
      <c r="J107" s="491">
        <f t="shared" si="4"/>
        <v>795</v>
      </c>
      <c r="K107" s="323"/>
      <c r="L107" s="324"/>
    </row>
    <row r="108" spans="1:12" ht="20.25" customHeight="1" thickBot="1" x14ac:dyDescent="0.25">
      <c r="A108" s="158">
        <v>104</v>
      </c>
      <c r="B108" s="159" t="s">
        <v>2448</v>
      </c>
      <c r="C108" s="160" t="s">
        <v>2336</v>
      </c>
      <c r="D108" s="161" t="s">
        <v>2449</v>
      </c>
      <c r="E108" s="162" t="s">
        <v>2441</v>
      </c>
      <c r="F108" s="163" t="s">
        <v>17</v>
      </c>
      <c r="G108" s="164">
        <v>100</v>
      </c>
      <c r="H108" s="153">
        <f t="shared" si="3"/>
        <v>400</v>
      </c>
      <c r="I108" s="458">
        <f>+(800+780)/4</f>
        <v>395</v>
      </c>
      <c r="J108" s="492">
        <f t="shared" si="4"/>
        <v>795</v>
      </c>
      <c r="K108" s="325"/>
      <c r="L108" s="326"/>
    </row>
    <row r="109" spans="1:12" ht="20.25" customHeight="1" x14ac:dyDescent="0.2">
      <c r="A109" s="108">
        <v>105</v>
      </c>
      <c r="B109" s="174" t="s">
        <v>2450</v>
      </c>
      <c r="C109" s="175" t="s">
        <v>2451</v>
      </c>
      <c r="D109" s="176" t="s">
        <v>2452</v>
      </c>
      <c r="E109" s="177" t="s">
        <v>2453</v>
      </c>
      <c r="F109" s="178" t="s">
        <v>8</v>
      </c>
      <c r="G109" s="179">
        <v>100</v>
      </c>
      <c r="H109" s="459">
        <f t="shared" si="3"/>
        <v>400</v>
      </c>
      <c r="I109" s="452">
        <f>+(0+130)/3</f>
        <v>43.333333333333336</v>
      </c>
      <c r="J109" s="490">
        <f t="shared" si="4"/>
        <v>443.33333333333331</v>
      </c>
      <c r="K109" s="327"/>
      <c r="L109" s="328"/>
    </row>
    <row r="110" spans="1:12" ht="20.25" customHeight="1" x14ac:dyDescent="0.2">
      <c r="A110" s="114">
        <v>106</v>
      </c>
      <c r="B110" s="47" t="s">
        <v>2454</v>
      </c>
      <c r="C110" s="10" t="s">
        <v>2455</v>
      </c>
      <c r="D110" s="11" t="s">
        <v>2456</v>
      </c>
      <c r="E110" s="5" t="s">
        <v>2453</v>
      </c>
      <c r="F110" s="100" t="s">
        <v>11</v>
      </c>
      <c r="G110" s="125">
        <v>100</v>
      </c>
      <c r="H110" s="460">
        <f t="shared" si="3"/>
        <v>400</v>
      </c>
      <c r="I110" s="450">
        <f>+(0+130)/3</f>
        <v>43.333333333333336</v>
      </c>
      <c r="J110" s="491">
        <f t="shared" si="4"/>
        <v>443.33333333333331</v>
      </c>
      <c r="K110" s="323"/>
      <c r="L110" s="324"/>
    </row>
    <row r="111" spans="1:12" ht="20.25" customHeight="1" thickBot="1" x14ac:dyDescent="0.25">
      <c r="A111" s="114">
        <v>107</v>
      </c>
      <c r="B111" s="47" t="s">
        <v>2457</v>
      </c>
      <c r="C111" s="10" t="s">
        <v>2458</v>
      </c>
      <c r="D111" s="11" t="s">
        <v>2459</v>
      </c>
      <c r="E111" s="5" t="s">
        <v>2453</v>
      </c>
      <c r="F111" s="100" t="s">
        <v>14</v>
      </c>
      <c r="G111" s="125">
        <v>50</v>
      </c>
      <c r="H111" s="460">
        <f t="shared" si="3"/>
        <v>450</v>
      </c>
      <c r="I111" s="461">
        <f>+(0+130)/3</f>
        <v>43.333333333333336</v>
      </c>
      <c r="J111" s="491">
        <f t="shared" si="4"/>
        <v>493.33333333333331</v>
      </c>
      <c r="K111" s="323"/>
      <c r="L111" s="324"/>
    </row>
    <row r="112" spans="1:12" ht="20.25" customHeight="1" thickBot="1" x14ac:dyDescent="0.25">
      <c r="A112" s="319">
        <v>108</v>
      </c>
      <c r="B112" s="180"/>
      <c r="C112" s="181" t="s">
        <v>4946</v>
      </c>
      <c r="D112" s="182"/>
      <c r="E112" s="183" t="s">
        <v>2453</v>
      </c>
      <c r="F112" s="184" t="s">
        <v>17</v>
      </c>
      <c r="G112" s="453"/>
      <c r="H112" s="185"/>
      <c r="I112" s="289"/>
      <c r="J112" s="493">
        <f t="shared" si="4"/>
        <v>0</v>
      </c>
      <c r="K112" s="329" t="s">
        <v>4946</v>
      </c>
      <c r="L112" s="326"/>
    </row>
    <row r="113" spans="1:12" ht="20.25" customHeight="1" x14ac:dyDescent="0.2">
      <c r="A113" s="108">
        <v>109</v>
      </c>
      <c r="B113" s="171" t="s">
        <v>2460</v>
      </c>
      <c r="C113" s="110" t="s">
        <v>2461</v>
      </c>
      <c r="D113" s="111" t="s">
        <v>2462</v>
      </c>
      <c r="E113" s="112" t="s">
        <v>2463</v>
      </c>
      <c r="F113" s="113" t="s">
        <v>8</v>
      </c>
      <c r="G113" s="119">
        <v>350</v>
      </c>
      <c r="H113" s="120">
        <f t="shared" si="3"/>
        <v>150</v>
      </c>
      <c r="I113" s="452">
        <f>+(365+460)/4</f>
        <v>206.25</v>
      </c>
      <c r="J113" s="490">
        <f t="shared" si="4"/>
        <v>356.25</v>
      </c>
      <c r="K113" s="327"/>
      <c r="L113" s="328"/>
    </row>
    <row r="114" spans="1:12" ht="20.25" customHeight="1" x14ac:dyDescent="0.2">
      <c r="A114" s="114">
        <v>110</v>
      </c>
      <c r="B114" s="1" t="s">
        <v>2464</v>
      </c>
      <c r="C114" s="6" t="s">
        <v>2465</v>
      </c>
      <c r="D114" s="7" t="s">
        <v>2466</v>
      </c>
      <c r="E114" s="2" t="s">
        <v>2463</v>
      </c>
      <c r="F114" s="99" t="s">
        <v>11</v>
      </c>
      <c r="G114" s="121">
        <v>50</v>
      </c>
      <c r="H114" s="122">
        <f t="shared" si="3"/>
        <v>450</v>
      </c>
      <c r="I114" s="450">
        <f>+(365+460)/4</f>
        <v>206.25</v>
      </c>
      <c r="J114" s="491">
        <f t="shared" si="4"/>
        <v>656.25</v>
      </c>
      <c r="K114" s="323"/>
      <c r="L114" s="324"/>
    </row>
    <row r="115" spans="1:12" ht="20.25" customHeight="1" x14ac:dyDescent="0.2">
      <c r="A115" s="114">
        <v>111</v>
      </c>
      <c r="B115" s="1" t="s">
        <v>2467</v>
      </c>
      <c r="C115" s="6" t="s">
        <v>2468</v>
      </c>
      <c r="D115" s="7" t="s">
        <v>2469</v>
      </c>
      <c r="E115" s="2" t="s">
        <v>2463</v>
      </c>
      <c r="F115" s="99" t="s">
        <v>14</v>
      </c>
      <c r="G115" s="121">
        <v>100</v>
      </c>
      <c r="H115" s="122">
        <f t="shared" si="3"/>
        <v>400</v>
      </c>
      <c r="I115" s="450">
        <f>+(365+460)/4</f>
        <v>206.25</v>
      </c>
      <c r="J115" s="491">
        <f t="shared" si="4"/>
        <v>606.25</v>
      </c>
      <c r="K115" s="323"/>
      <c r="L115" s="324"/>
    </row>
    <row r="116" spans="1:12" ht="20.25" customHeight="1" thickBot="1" x14ac:dyDescent="0.25">
      <c r="A116" s="158">
        <v>112</v>
      </c>
      <c r="B116" s="159" t="s">
        <v>2470</v>
      </c>
      <c r="C116" s="160" t="s">
        <v>2471</v>
      </c>
      <c r="D116" s="161" t="s">
        <v>2472</v>
      </c>
      <c r="E116" s="162" t="s">
        <v>2463</v>
      </c>
      <c r="F116" s="163" t="s">
        <v>17</v>
      </c>
      <c r="G116" s="164">
        <v>50</v>
      </c>
      <c r="H116" s="153">
        <f t="shared" si="3"/>
        <v>450</v>
      </c>
      <c r="I116" s="450">
        <f>+(365+460)/4</f>
        <v>206.25</v>
      </c>
      <c r="J116" s="492">
        <f t="shared" si="4"/>
        <v>656.25</v>
      </c>
      <c r="K116" s="325"/>
      <c r="L116" s="326"/>
    </row>
    <row r="117" spans="1:12" ht="20.25" customHeight="1" x14ac:dyDescent="0.2">
      <c r="A117" s="108">
        <v>113</v>
      </c>
      <c r="B117" s="171" t="s">
        <v>2473</v>
      </c>
      <c r="C117" s="110" t="s">
        <v>2474</v>
      </c>
      <c r="D117" s="111" t="s">
        <v>2475</v>
      </c>
      <c r="E117" s="112" t="s">
        <v>2476</v>
      </c>
      <c r="F117" s="113" t="s">
        <v>8</v>
      </c>
      <c r="G117" s="119">
        <v>100</v>
      </c>
      <c r="H117" s="120">
        <f t="shared" si="3"/>
        <v>400</v>
      </c>
      <c r="I117" s="452">
        <f>+(0+0)/4</f>
        <v>0</v>
      </c>
      <c r="J117" s="490">
        <f t="shared" si="4"/>
        <v>400</v>
      </c>
      <c r="K117" s="327"/>
      <c r="L117" s="328"/>
    </row>
    <row r="118" spans="1:12" ht="20.25" customHeight="1" x14ac:dyDescent="0.2">
      <c r="A118" s="114">
        <v>114</v>
      </c>
      <c r="B118" s="1" t="s">
        <v>2477</v>
      </c>
      <c r="C118" s="6" t="s">
        <v>2478</v>
      </c>
      <c r="D118" s="7" t="s">
        <v>2479</v>
      </c>
      <c r="E118" s="2" t="s">
        <v>2476</v>
      </c>
      <c r="F118" s="99" t="s">
        <v>11</v>
      </c>
      <c r="G118" s="121">
        <v>150</v>
      </c>
      <c r="H118" s="122">
        <f t="shared" si="3"/>
        <v>350</v>
      </c>
      <c r="I118" s="450">
        <f>+(0+0)/4</f>
        <v>0</v>
      </c>
      <c r="J118" s="491">
        <f t="shared" si="4"/>
        <v>350</v>
      </c>
      <c r="K118" s="323"/>
      <c r="L118" s="324"/>
    </row>
    <row r="119" spans="1:12" ht="20.25" customHeight="1" x14ac:dyDescent="0.2">
      <c r="A119" s="114">
        <v>115</v>
      </c>
      <c r="B119" s="1" t="s">
        <v>2480</v>
      </c>
      <c r="C119" s="6" t="s">
        <v>2481</v>
      </c>
      <c r="D119" s="7" t="s">
        <v>2482</v>
      </c>
      <c r="E119" s="2" t="s">
        <v>2476</v>
      </c>
      <c r="F119" s="99" t="s">
        <v>14</v>
      </c>
      <c r="G119" s="121">
        <v>150</v>
      </c>
      <c r="H119" s="122">
        <f t="shared" si="3"/>
        <v>350</v>
      </c>
      <c r="I119" s="450">
        <f>+(0+0)/4</f>
        <v>0</v>
      </c>
      <c r="J119" s="491">
        <f t="shared" si="4"/>
        <v>350</v>
      </c>
      <c r="K119" s="323"/>
      <c r="L119" s="324"/>
    </row>
    <row r="120" spans="1:12" ht="20.25" customHeight="1" thickBot="1" x14ac:dyDescent="0.25">
      <c r="A120" s="158">
        <v>116</v>
      </c>
      <c r="B120" s="159" t="s">
        <v>2483</v>
      </c>
      <c r="C120" s="160" t="s">
        <v>2484</v>
      </c>
      <c r="D120" s="161" t="s">
        <v>2485</v>
      </c>
      <c r="E120" s="162" t="s">
        <v>2476</v>
      </c>
      <c r="F120" s="163" t="s">
        <v>17</v>
      </c>
      <c r="G120" s="164">
        <v>150</v>
      </c>
      <c r="H120" s="153">
        <f t="shared" si="3"/>
        <v>350</v>
      </c>
      <c r="I120" s="450">
        <f>+(0+0)/4</f>
        <v>0</v>
      </c>
      <c r="J120" s="492">
        <f t="shared" si="4"/>
        <v>350</v>
      </c>
      <c r="K120" s="325"/>
      <c r="L120" s="326"/>
    </row>
    <row r="121" spans="1:12" ht="20.25" customHeight="1" x14ac:dyDescent="0.2">
      <c r="A121" s="108">
        <v>117</v>
      </c>
      <c r="B121" s="171" t="s">
        <v>2486</v>
      </c>
      <c r="C121" s="110" t="s">
        <v>2487</v>
      </c>
      <c r="D121" s="111" t="s">
        <v>2488</v>
      </c>
      <c r="E121" s="112" t="s">
        <v>2489</v>
      </c>
      <c r="F121" s="113" t="s">
        <v>8</v>
      </c>
      <c r="G121" s="119">
        <v>150</v>
      </c>
      <c r="H121" s="120">
        <f t="shared" si="3"/>
        <v>350</v>
      </c>
      <c r="I121" s="452">
        <f>+(70+475)/4</f>
        <v>136.25</v>
      </c>
      <c r="J121" s="490">
        <f t="shared" si="4"/>
        <v>486.25</v>
      </c>
      <c r="K121" s="327"/>
      <c r="L121" s="328"/>
    </row>
    <row r="122" spans="1:12" ht="20.25" customHeight="1" x14ac:dyDescent="0.2">
      <c r="A122" s="114">
        <v>118</v>
      </c>
      <c r="B122" s="1" t="s">
        <v>2490</v>
      </c>
      <c r="C122" s="6" t="s">
        <v>2491</v>
      </c>
      <c r="D122" s="7" t="s">
        <v>2492</v>
      </c>
      <c r="E122" s="2" t="s">
        <v>2489</v>
      </c>
      <c r="F122" s="99" t="s">
        <v>11</v>
      </c>
      <c r="G122" s="121">
        <v>150</v>
      </c>
      <c r="H122" s="122">
        <f t="shared" si="3"/>
        <v>350</v>
      </c>
      <c r="I122" s="450">
        <f>+(70+475)/4</f>
        <v>136.25</v>
      </c>
      <c r="J122" s="491">
        <f t="shared" si="4"/>
        <v>486.25</v>
      </c>
      <c r="K122" s="323"/>
      <c r="L122" s="324"/>
    </row>
    <row r="123" spans="1:12" ht="20.25" customHeight="1" x14ac:dyDescent="0.2">
      <c r="A123" s="114">
        <v>119</v>
      </c>
      <c r="B123" s="1" t="s">
        <v>2493</v>
      </c>
      <c r="C123" s="6" t="s">
        <v>2494</v>
      </c>
      <c r="D123" s="7" t="s">
        <v>2495</v>
      </c>
      <c r="E123" s="2" t="s">
        <v>2489</v>
      </c>
      <c r="F123" s="99" t="s">
        <v>14</v>
      </c>
      <c r="G123" s="121">
        <v>150</v>
      </c>
      <c r="H123" s="122">
        <f t="shared" si="3"/>
        <v>350</v>
      </c>
      <c r="I123" s="450">
        <f>+(70+475)/4</f>
        <v>136.25</v>
      </c>
      <c r="J123" s="491">
        <f t="shared" si="4"/>
        <v>486.25</v>
      </c>
      <c r="K123" s="323"/>
      <c r="L123" s="324"/>
    </row>
    <row r="124" spans="1:12" ht="20.25" customHeight="1" thickBot="1" x14ac:dyDescent="0.25">
      <c r="A124" s="158">
        <v>120</v>
      </c>
      <c r="B124" s="159" t="s">
        <v>2496</v>
      </c>
      <c r="C124" s="160" t="s">
        <v>2139</v>
      </c>
      <c r="D124" s="161" t="s">
        <v>2497</v>
      </c>
      <c r="E124" s="162" t="s">
        <v>2489</v>
      </c>
      <c r="F124" s="163" t="s">
        <v>17</v>
      </c>
      <c r="G124" s="164">
        <v>150</v>
      </c>
      <c r="H124" s="153">
        <f t="shared" si="3"/>
        <v>350</v>
      </c>
      <c r="I124" s="450">
        <f>+(70+475)/4</f>
        <v>136.25</v>
      </c>
      <c r="J124" s="492">
        <f t="shared" si="4"/>
        <v>486.25</v>
      </c>
      <c r="K124" s="325"/>
      <c r="L124" s="326"/>
    </row>
    <row r="125" spans="1:12" ht="20.25" customHeight="1" x14ac:dyDescent="0.2">
      <c r="A125" s="108">
        <v>121</v>
      </c>
      <c r="B125" s="171" t="s">
        <v>2498</v>
      </c>
      <c r="C125" s="110" t="s">
        <v>2499</v>
      </c>
      <c r="D125" s="111" t="s">
        <v>2500</v>
      </c>
      <c r="E125" s="112" t="s">
        <v>2501</v>
      </c>
      <c r="F125" s="113" t="s">
        <v>8</v>
      </c>
      <c r="G125" s="119">
        <v>50</v>
      </c>
      <c r="H125" s="120">
        <f t="shared" si="3"/>
        <v>450</v>
      </c>
      <c r="I125" s="452">
        <f>+(355+645)/4</f>
        <v>250</v>
      </c>
      <c r="J125" s="490">
        <f t="shared" si="4"/>
        <v>700</v>
      </c>
      <c r="K125" s="327"/>
      <c r="L125" s="328"/>
    </row>
    <row r="126" spans="1:12" ht="20.25" customHeight="1" x14ac:dyDescent="0.2">
      <c r="A126" s="114">
        <v>122</v>
      </c>
      <c r="B126" s="1" t="s">
        <v>2502</v>
      </c>
      <c r="C126" s="6" t="s">
        <v>2503</v>
      </c>
      <c r="D126" s="7" t="s">
        <v>2504</v>
      </c>
      <c r="E126" s="2" t="s">
        <v>2501</v>
      </c>
      <c r="F126" s="99" t="s">
        <v>11</v>
      </c>
      <c r="G126" s="121">
        <v>150</v>
      </c>
      <c r="H126" s="122">
        <f t="shared" si="3"/>
        <v>350</v>
      </c>
      <c r="I126" s="450">
        <f>+(355+645)/4</f>
        <v>250</v>
      </c>
      <c r="J126" s="491">
        <f t="shared" si="4"/>
        <v>600</v>
      </c>
      <c r="K126" s="323"/>
      <c r="L126" s="324"/>
    </row>
    <row r="127" spans="1:12" ht="20.25" customHeight="1" x14ac:dyDescent="0.2">
      <c r="A127" s="114">
        <v>123</v>
      </c>
      <c r="B127" s="1" t="s">
        <v>2505</v>
      </c>
      <c r="C127" s="6" t="s">
        <v>2506</v>
      </c>
      <c r="D127" s="7" t="s">
        <v>2507</v>
      </c>
      <c r="E127" s="2" t="s">
        <v>2501</v>
      </c>
      <c r="F127" s="99" t="s">
        <v>14</v>
      </c>
      <c r="G127" s="121">
        <v>150</v>
      </c>
      <c r="H127" s="122">
        <f t="shared" si="3"/>
        <v>350</v>
      </c>
      <c r="I127" s="450">
        <f>+(355+645)/4</f>
        <v>250</v>
      </c>
      <c r="J127" s="491">
        <f t="shared" si="4"/>
        <v>600</v>
      </c>
      <c r="K127" s="323"/>
      <c r="L127" s="324"/>
    </row>
    <row r="128" spans="1:12" ht="20.25" customHeight="1" thickBot="1" x14ac:dyDescent="0.25">
      <c r="A128" s="158">
        <v>124</v>
      </c>
      <c r="B128" s="159" t="s">
        <v>2508</v>
      </c>
      <c r="C128" s="160" t="s">
        <v>2509</v>
      </c>
      <c r="D128" s="161" t="s">
        <v>2510</v>
      </c>
      <c r="E128" s="162" t="s">
        <v>2501</v>
      </c>
      <c r="F128" s="163" t="s">
        <v>17</v>
      </c>
      <c r="G128" s="164">
        <v>150</v>
      </c>
      <c r="H128" s="153">
        <f t="shared" si="3"/>
        <v>350</v>
      </c>
      <c r="I128" s="450">
        <f>+(355+645)/4</f>
        <v>250</v>
      </c>
      <c r="J128" s="492">
        <f t="shared" si="4"/>
        <v>600</v>
      </c>
      <c r="K128" s="325"/>
      <c r="L128" s="326"/>
    </row>
    <row r="129" spans="1:12" ht="20.25" customHeight="1" x14ac:dyDescent="0.2">
      <c r="A129" s="108">
        <v>125</v>
      </c>
      <c r="B129" s="171" t="s">
        <v>2511</v>
      </c>
      <c r="C129" s="110" t="s">
        <v>2512</v>
      </c>
      <c r="D129" s="111" t="s">
        <v>2513</v>
      </c>
      <c r="E129" s="112" t="s">
        <v>2514</v>
      </c>
      <c r="F129" s="113" t="s">
        <v>8</v>
      </c>
      <c r="G129" s="119">
        <v>150</v>
      </c>
      <c r="H129" s="120">
        <f t="shared" si="3"/>
        <v>350</v>
      </c>
      <c r="I129" s="452">
        <f>+(0+545)/4</f>
        <v>136.25</v>
      </c>
      <c r="J129" s="490">
        <f t="shared" si="4"/>
        <v>486.25</v>
      </c>
      <c r="K129" s="327"/>
      <c r="L129" s="328"/>
    </row>
    <row r="130" spans="1:12" ht="20.25" customHeight="1" x14ac:dyDescent="0.2">
      <c r="A130" s="114">
        <v>126</v>
      </c>
      <c r="B130" s="1" t="s">
        <v>2515</v>
      </c>
      <c r="C130" s="6" t="s">
        <v>2516</v>
      </c>
      <c r="D130" s="7" t="s">
        <v>2517</v>
      </c>
      <c r="E130" s="2" t="s">
        <v>2514</v>
      </c>
      <c r="F130" s="99" t="s">
        <v>11</v>
      </c>
      <c r="G130" s="121">
        <v>150</v>
      </c>
      <c r="H130" s="122">
        <f t="shared" si="3"/>
        <v>350</v>
      </c>
      <c r="I130" s="450">
        <f>+(0+545)/4</f>
        <v>136.25</v>
      </c>
      <c r="J130" s="491">
        <f t="shared" si="4"/>
        <v>486.25</v>
      </c>
      <c r="K130" s="323"/>
      <c r="L130" s="324"/>
    </row>
    <row r="131" spans="1:12" ht="20.25" customHeight="1" x14ac:dyDescent="0.2">
      <c r="A131" s="114">
        <v>127</v>
      </c>
      <c r="B131" s="1" t="s">
        <v>2518</v>
      </c>
      <c r="C131" s="6" t="s">
        <v>2519</v>
      </c>
      <c r="D131" s="7" t="s">
        <v>2520</v>
      </c>
      <c r="E131" s="2" t="s">
        <v>2514</v>
      </c>
      <c r="F131" s="99" t="s">
        <v>14</v>
      </c>
      <c r="G131" s="121">
        <v>150</v>
      </c>
      <c r="H131" s="122">
        <f t="shared" si="3"/>
        <v>350</v>
      </c>
      <c r="I131" s="450">
        <f>+(0+545)/4</f>
        <v>136.25</v>
      </c>
      <c r="J131" s="491">
        <f t="shared" si="4"/>
        <v>486.25</v>
      </c>
      <c r="K131" s="323"/>
      <c r="L131" s="324"/>
    </row>
    <row r="132" spans="1:12" ht="20.25" customHeight="1" thickBot="1" x14ac:dyDescent="0.25">
      <c r="A132" s="158">
        <v>128</v>
      </c>
      <c r="B132" s="159" t="s">
        <v>2521</v>
      </c>
      <c r="C132" s="160" t="s">
        <v>2522</v>
      </c>
      <c r="D132" s="161" t="s">
        <v>2523</v>
      </c>
      <c r="E132" s="162" t="s">
        <v>2514</v>
      </c>
      <c r="F132" s="163" t="s">
        <v>17</v>
      </c>
      <c r="G132" s="164">
        <v>150</v>
      </c>
      <c r="H132" s="153">
        <f t="shared" ref="H132:H195" si="5">500-G132</f>
        <v>350</v>
      </c>
      <c r="I132" s="450">
        <f>+(0+545)/4</f>
        <v>136.25</v>
      </c>
      <c r="J132" s="492">
        <f t="shared" si="4"/>
        <v>486.25</v>
      </c>
      <c r="K132" s="325"/>
      <c r="L132" s="326"/>
    </row>
    <row r="133" spans="1:12" ht="20.25" customHeight="1" x14ac:dyDescent="0.2">
      <c r="A133" s="108">
        <v>129</v>
      </c>
      <c r="B133" s="171" t="s">
        <v>2524</v>
      </c>
      <c r="C133" s="110" t="s">
        <v>2525</v>
      </c>
      <c r="D133" s="111" t="s">
        <v>2526</v>
      </c>
      <c r="E133" s="112" t="s">
        <v>2527</v>
      </c>
      <c r="F133" s="113" t="s">
        <v>8</v>
      </c>
      <c r="G133" s="119">
        <v>150</v>
      </c>
      <c r="H133" s="120">
        <f t="shared" si="5"/>
        <v>350</v>
      </c>
      <c r="I133" s="452">
        <f>+(1395+1605)/4</f>
        <v>750</v>
      </c>
      <c r="J133" s="490">
        <f t="shared" si="4"/>
        <v>1100</v>
      </c>
      <c r="K133" s="327"/>
      <c r="L133" s="328"/>
    </row>
    <row r="134" spans="1:12" ht="20.25" customHeight="1" x14ac:dyDescent="0.2">
      <c r="A134" s="114">
        <v>130</v>
      </c>
      <c r="B134" s="1" t="s">
        <v>2528</v>
      </c>
      <c r="C134" s="6" t="s">
        <v>2529</v>
      </c>
      <c r="D134" s="7" t="s">
        <v>2530</v>
      </c>
      <c r="E134" s="2" t="s">
        <v>2527</v>
      </c>
      <c r="F134" s="99" t="s">
        <v>11</v>
      </c>
      <c r="G134" s="121">
        <v>50</v>
      </c>
      <c r="H134" s="122">
        <f t="shared" si="5"/>
        <v>450</v>
      </c>
      <c r="I134" s="450">
        <f>+(1395+1605)/4</f>
        <v>750</v>
      </c>
      <c r="J134" s="491">
        <f t="shared" si="4"/>
        <v>1200</v>
      </c>
      <c r="K134" s="323"/>
      <c r="L134" s="324"/>
    </row>
    <row r="135" spans="1:12" ht="20.25" customHeight="1" x14ac:dyDescent="0.2">
      <c r="A135" s="114">
        <v>131</v>
      </c>
      <c r="B135" s="1" t="s">
        <v>2531</v>
      </c>
      <c r="C135" s="6" t="s">
        <v>2532</v>
      </c>
      <c r="D135" s="7" t="s">
        <v>2533</v>
      </c>
      <c r="E135" s="2" t="s">
        <v>2527</v>
      </c>
      <c r="F135" s="99" t="s">
        <v>14</v>
      </c>
      <c r="G135" s="121">
        <v>100</v>
      </c>
      <c r="H135" s="122">
        <f t="shared" si="5"/>
        <v>400</v>
      </c>
      <c r="I135" s="450">
        <f>+(1395+1605)/4</f>
        <v>750</v>
      </c>
      <c r="J135" s="491">
        <f t="shared" si="4"/>
        <v>1150</v>
      </c>
      <c r="K135" s="323"/>
      <c r="L135" s="324"/>
    </row>
    <row r="136" spans="1:12" ht="20.25" customHeight="1" thickBot="1" x14ac:dyDescent="0.25">
      <c r="A136" s="158">
        <v>132</v>
      </c>
      <c r="B136" s="159" t="s">
        <v>2534</v>
      </c>
      <c r="C136" s="160" t="s">
        <v>2535</v>
      </c>
      <c r="D136" s="161" t="s">
        <v>2536</v>
      </c>
      <c r="E136" s="162" t="s">
        <v>2527</v>
      </c>
      <c r="F136" s="163" t="s">
        <v>17</v>
      </c>
      <c r="G136" s="164">
        <v>100</v>
      </c>
      <c r="H136" s="153">
        <f t="shared" si="5"/>
        <v>400</v>
      </c>
      <c r="I136" s="450">
        <f>+(1395+1605)/4</f>
        <v>750</v>
      </c>
      <c r="J136" s="492">
        <f t="shared" si="4"/>
        <v>1150</v>
      </c>
      <c r="K136" s="325"/>
      <c r="L136" s="326"/>
    </row>
    <row r="137" spans="1:12" ht="20.25" customHeight="1" x14ac:dyDescent="0.2">
      <c r="A137" s="108">
        <v>133</v>
      </c>
      <c r="B137" s="171" t="s">
        <v>2537</v>
      </c>
      <c r="C137" s="110" t="s">
        <v>2538</v>
      </c>
      <c r="D137" s="111" t="s">
        <v>2539</v>
      </c>
      <c r="E137" s="112" t="s">
        <v>2540</v>
      </c>
      <c r="F137" s="113" t="s">
        <v>8</v>
      </c>
      <c r="G137" s="119">
        <v>100</v>
      </c>
      <c r="H137" s="120">
        <f t="shared" si="5"/>
        <v>400</v>
      </c>
      <c r="I137" s="452">
        <f>+(630+960)/4</f>
        <v>397.5</v>
      </c>
      <c r="J137" s="490">
        <f t="shared" si="4"/>
        <v>797.5</v>
      </c>
      <c r="K137" s="327"/>
      <c r="L137" s="328"/>
    </row>
    <row r="138" spans="1:12" ht="20.25" customHeight="1" x14ac:dyDescent="0.2">
      <c r="A138" s="114">
        <v>134</v>
      </c>
      <c r="B138" s="1" t="s">
        <v>2541</v>
      </c>
      <c r="C138" s="6" t="s">
        <v>2542</v>
      </c>
      <c r="D138" s="7" t="s">
        <v>2543</v>
      </c>
      <c r="E138" s="2" t="s">
        <v>2540</v>
      </c>
      <c r="F138" s="99" t="s">
        <v>11</v>
      </c>
      <c r="G138" s="121">
        <v>100</v>
      </c>
      <c r="H138" s="122">
        <f t="shared" si="5"/>
        <v>400</v>
      </c>
      <c r="I138" s="450">
        <f>+(630+960)/4</f>
        <v>397.5</v>
      </c>
      <c r="J138" s="491">
        <f t="shared" si="4"/>
        <v>797.5</v>
      </c>
      <c r="K138" s="323"/>
      <c r="L138" s="324"/>
    </row>
    <row r="139" spans="1:12" ht="20.25" customHeight="1" x14ac:dyDescent="0.2">
      <c r="A139" s="114">
        <v>135</v>
      </c>
      <c r="B139" s="1" t="s">
        <v>2544</v>
      </c>
      <c r="C139" s="6" t="s">
        <v>2545</v>
      </c>
      <c r="D139" s="7" t="s">
        <v>2546</v>
      </c>
      <c r="E139" s="2" t="s">
        <v>2540</v>
      </c>
      <c r="F139" s="99" t="s">
        <v>14</v>
      </c>
      <c r="G139" s="121">
        <v>100</v>
      </c>
      <c r="H139" s="122">
        <f t="shared" si="5"/>
        <v>400</v>
      </c>
      <c r="I139" s="450">
        <f>+(630+960)/4</f>
        <v>397.5</v>
      </c>
      <c r="J139" s="491">
        <f t="shared" si="4"/>
        <v>797.5</v>
      </c>
      <c r="K139" s="323"/>
      <c r="L139" s="324"/>
    </row>
    <row r="140" spans="1:12" ht="20.25" customHeight="1" thickBot="1" x14ac:dyDescent="0.25">
      <c r="A140" s="158">
        <v>136</v>
      </c>
      <c r="B140" s="159" t="s">
        <v>2547</v>
      </c>
      <c r="C140" s="160" t="s">
        <v>2548</v>
      </c>
      <c r="D140" s="161" t="s">
        <v>2549</v>
      </c>
      <c r="E140" s="162" t="s">
        <v>2540</v>
      </c>
      <c r="F140" s="163" t="s">
        <v>17</v>
      </c>
      <c r="G140" s="164">
        <v>100</v>
      </c>
      <c r="H140" s="153">
        <f t="shared" si="5"/>
        <v>400</v>
      </c>
      <c r="I140" s="450">
        <f>+(630+960)/4</f>
        <v>397.5</v>
      </c>
      <c r="J140" s="492">
        <f t="shared" si="4"/>
        <v>797.5</v>
      </c>
      <c r="K140" s="325"/>
      <c r="L140" s="326"/>
    </row>
    <row r="141" spans="1:12" ht="20.25" customHeight="1" x14ac:dyDescent="0.2">
      <c r="A141" s="108">
        <v>137</v>
      </c>
      <c r="B141" s="174" t="s">
        <v>2550</v>
      </c>
      <c r="C141" s="175" t="s">
        <v>2551</v>
      </c>
      <c r="D141" s="176" t="s">
        <v>2552</v>
      </c>
      <c r="E141" s="177" t="s">
        <v>2553</v>
      </c>
      <c r="F141" s="178" t="s">
        <v>8</v>
      </c>
      <c r="G141" s="179">
        <v>100</v>
      </c>
      <c r="H141" s="120">
        <f t="shared" si="5"/>
        <v>400</v>
      </c>
      <c r="I141" s="452">
        <f>+(1210+1235)/4</f>
        <v>611.25</v>
      </c>
      <c r="J141" s="490">
        <f t="shared" si="4"/>
        <v>1011.25</v>
      </c>
      <c r="K141" s="327"/>
      <c r="L141" s="328"/>
    </row>
    <row r="142" spans="1:12" s="37" customFormat="1" ht="20.25" customHeight="1" x14ac:dyDescent="0.2">
      <c r="A142" s="116">
        <v>138</v>
      </c>
      <c r="B142" s="48" t="s">
        <v>2554</v>
      </c>
      <c r="C142" s="39" t="s">
        <v>2555</v>
      </c>
      <c r="D142" s="38" t="s">
        <v>2556</v>
      </c>
      <c r="E142" s="36" t="s">
        <v>2553</v>
      </c>
      <c r="F142" s="105" t="s">
        <v>11</v>
      </c>
      <c r="G142" s="137">
        <v>100</v>
      </c>
      <c r="H142" s="127">
        <f t="shared" si="5"/>
        <v>400</v>
      </c>
      <c r="I142" s="294">
        <f>+(1210+1235)/4</f>
        <v>611.25</v>
      </c>
      <c r="J142" s="497">
        <f t="shared" si="4"/>
        <v>1011.25</v>
      </c>
      <c r="K142" s="333" t="s">
        <v>4996</v>
      </c>
      <c r="L142" s="334">
        <v>6280</v>
      </c>
    </row>
    <row r="143" spans="1:12" ht="20.25" customHeight="1" x14ac:dyDescent="0.2">
      <c r="A143" s="114">
        <v>139</v>
      </c>
      <c r="B143" s="47" t="s">
        <v>2557</v>
      </c>
      <c r="C143" s="10" t="s">
        <v>2558</v>
      </c>
      <c r="D143" s="11" t="s">
        <v>2559</v>
      </c>
      <c r="E143" s="5" t="s">
        <v>2553</v>
      </c>
      <c r="F143" s="100" t="s">
        <v>14</v>
      </c>
      <c r="G143" s="125">
        <v>100</v>
      </c>
      <c r="H143" s="122">
        <f t="shared" si="5"/>
        <v>400</v>
      </c>
      <c r="I143" s="450">
        <f>+(1210+1235)/4</f>
        <v>611.25</v>
      </c>
      <c r="J143" s="491">
        <f t="shared" si="4"/>
        <v>1011.25</v>
      </c>
      <c r="K143" s="323"/>
      <c r="L143" s="324"/>
    </row>
    <row r="144" spans="1:12" s="37" customFormat="1" ht="20.25" customHeight="1" thickBot="1" x14ac:dyDescent="0.25">
      <c r="A144" s="147">
        <v>140</v>
      </c>
      <c r="B144" s="211" t="s">
        <v>4997</v>
      </c>
      <c r="C144" s="212" t="s">
        <v>3078</v>
      </c>
      <c r="D144" s="213" t="s">
        <v>4998</v>
      </c>
      <c r="E144" s="214" t="s">
        <v>2553</v>
      </c>
      <c r="F144" s="215" t="s">
        <v>17</v>
      </c>
      <c r="G144" s="216">
        <v>100</v>
      </c>
      <c r="H144" s="247">
        <f t="shared" si="5"/>
        <v>400</v>
      </c>
      <c r="I144" s="294">
        <f>+(1210+1235)/4</f>
        <v>611.25</v>
      </c>
      <c r="J144" s="495">
        <f t="shared" si="4"/>
        <v>1011.25</v>
      </c>
      <c r="K144" s="331" t="s">
        <v>4996</v>
      </c>
      <c r="L144" s="332">
        <v>6280</v>
      </c>
    </row>
    <row r="145" spans="1:12" ht="20.25" customHeight="1" x14ac:dyDescent="0.2">
      <c r="A145" s="108">
        <v>141</v>
      </c>
      <c r="B145" s="171" t="s">
        <v>2560</v>
      </c>
      <c r="C145" s="110" t="s">
        <v>2561</v>
      </c>
      <c r="D145" s="111" t="s">
        <v>2562</v>
      </c>
      <c r="E145" s="112" t="s">
        <v>2563</v>
      </c>
      <c r="F145" s="113" t="s">
        <v>8</v>
      </c>
      <c r="G145" s="119">
        <v>100</v>
      </c>
      <c r="H145" s="120">
        <f t="shared" si="5"/>
        <v>400</v>
      </c>
      <c r="I145" s="452">
        <f>+(560+260)/4</f>
        <v>205</v>
      </c>
      <c r="J145" s="490">
        <f t="shared" ref="J145:J208" si="6">SUM(H145:I145)</f>
        <v>605</v>
      </c>
      <c r="K145" s="327"/>
      <c r="L145" s="328"/>
    </row>
    <row r="146" spans="1:12" ht="20.25" customHeight="1" x14ac:dyDescent="0.2">
      <c r="A146" s="114">
        <v>142</v>
      </c>
      <c r="B146" s="1" t="s">
        <v>2564</v>
      </c>
      <c r="C146" s="6" t="s">
        <v>2565</v>
      </c>
      <c r="D146" s="7" t="s">
        <v>2566</v>
      </c>
      <c r="E146" s="2" t="s">
        <v>2563</v>
      </c>
      <c r="F146" s="99" t="s">
        <v>11</v>
      </c>
      <c r="G146" s="121">
        <v>100</v>
      </c>
      <c r="H146" s="122">
        <f t="shared" si="5"/>
        <v>400</v>
      </c>
      <c r="I146" s="450">
        <f>+(560+260)/4</f>
        <v>205</v>
      </c>
      <c r="J146" s="491">
        <f t="shared" si="6"/>
        <v>605</v>
      </c>
      <c r="K146" s="323"/>
      <c r="L146" s="324"/>
    </row>
    <row r="147" spans="1:12" ht="20.25" customHeight="1" x14ac:dyDescent="0.2">
      <c r="A147" s="114">
        <v>143</v>
      </c>
      <c r="B147" s="1" t="s">
        <v>2567</v>
      </c>
      <c r="C147" s="6" t="s">
        <v>2568</v>
      </c>
      <c r="D147" s="7" t="s">
        <v>2569</v>
      </c>
      <c r="E147" s="2" t="s">
        <v>2563</v>
      </c>
      <c r="F147" s="99" t="s">
        <v>14</v>
      </c>
      <c r="G147" s="121">
        <v>50</v>
      </c>
      <c r="H147" s="122">
        <f t="shared" si="5"/>
        <v>450</v>
      </c>
      <c r="I147" s="450">
        <f>+(560+260)/4</f>
        <v>205</v>
      </c>
      <c r="J147" s="491">
        <f t="shared" si="6"/>
        <v>655</v>
      </c>
      <c r="K147" s="323"/>
      <c r="L147" s="324"/>
    </row>
    <row r="148" spans="1:12" ht="20.25" customHeight="1" thickBot="1" x14ac:dyDescent="0.25">
      <c r="A148" s="158">
        <v>144</v>
      </c>
      <c r="B148" s="159" t="s">
        <v>2570</v>
      </c>
      <c r="C148" s="160" t="s">
        <v>2571</v>
      </c>
      <c r="D148" s="161" t="s">
        <v>2572</v>
      </c>
      <c r="E148" s="162" t="s">
        <v>2563</v>
      </c>
      <c r="F148" s="163" t="s">
        <v>17</v>
      </c>
      <c r="G148" s="164">
        <v>100</v>
      </c>
      <c r="H148" s="153">
        <f t="shared" si="5"/>
        <v>400</v>
      </c>
      <c r="I148" s="450">
        <f>+(560+260)/4</f>
        <v>205</v>
      </c>
      <c r="J148" s="492">
        <f t="shared" si="6"/>
        <v>605</v>
      </c>
      <c r="K148" s="325"/>
      <c r="L148" s="326"/>
    </row>
    <row r="149" spans="1:12" ht="20.25" customHeight="1" x14ac:dyDescent="0.2">
      <c r="A149" s="108">
        <v>145</v>
      </c>
      <c r="B149" s="171" t="s">
        <v>2573</v>
      </c>
      <c r="C149" s="110" t="s">
        <v>2574</v>
      </c>
      <c r="D149" s="111" t="s">
        <v>2575</v>
      </c>
      <c r="E149" s="112" t="s">
        <v>2576</v>
      </c>
      <c r="F149" s="113" t="s">
        <v>8</v>
      </c>
      <c r="G149" s="119">
        <v>150</v>
      </c>
      <c r="H149" s="120">
        <f t="shared" si="5"/>
        <v>350</v>
      </c>
      <c r="I149" s="452">
        <f>+(1040+460)/4</f>
        <v>375</v>
      </c>
      <c r="J149" s="490">
        <f t="shared" si="6"/>
        <v>725</v>
      </c>
      <c r="K149" s="327"/>
      <c r="L149" s="328"/>
    </row>
    <row r="150" spans="1:12" ht="20.25" customHeight="1" x14ac:dyDescent="0.2">
      <c r="A150" s="114">
        <v>146</v>
      </c>
      <c r="B150" s="1" t="s">
        <v>2577</v>
      </c>
      <c r="C150" s="6" t="s">
        <v>2291</v>
      </c>
      <c r="D150" s="7" t="s">
        <v>2578</v>
      </c>
      <c r="E150" s="2" t="s">
        <v>2576</v>
      </c>
      <c r="F150" s="99" t="s">
        <v>11</v>
      </c>
      <c r="G150" s="121">
        <v>150</v>
      </c>
      <c r="H150" s="122">
        <f t="shared" si="5"/>
        <v>350</v>
      </c>
      <c r="I150" s="450">
        <f>+(1040+460)/4</f>
        <v>375</v>
      </c>
      <c r="J150" s="491">
        <f t="shared" si="6"/>
        <v>725</v>
      </c>
      <c r="K150" s="323"/>
      <c r="L150" s="324"/>
    </row>
    <row r="151" spans="1:12" ht="20.25" customHeight="1" x14ac:dyDescent="0.2">
      <c r="A151" s="114">
        <v>147</v>
      </c>
      <c r="B151" s="1" t="s">
        <v>2579</v>
      </c>
      <c r="C151" s="6" t="s">
        <v>2230</v>
      </c>
      <c r="D151" s="7" t="s">
        <v>2580</v>
      </c>
      <c r="E151" s="2" t="s">
        <v>2576</v>
      </c>
      <c r="F151" s="99" t="s">
        <v>14</v>
      </c>
      <c r="G151" s="121">
        <v>200</v>
      </c>
      <c r="H151" s="122">
        <f t="shared" si="5"/>
        <v>300</v>
      </c>
      <c r="I151" s="450">
        <f>+(1040+460)/4</f>
        <v>375</v>
      </c>
      <c r="J151" s="491">
        <f t="shared" si="6"/>
        <v>675</v>
      </c>
      <c r="K151" s="323"/>
      <c r="L151" s="324"/>
    </row>
    <row r="152" spans="1:12" ht="20.25" customHeight="1" thickBot="1" x14ac:dyDescent="0.25">
      <c r="A152" s="158">
        <v>148</v>
      </c>
      <c r="B152" s="159" t="s">
        <v>2581</v>
      </c>
      <c r="C152" s="160" t="s">
        <v>2582</v>
      </c>
      <c r="D152" s="161" t="s">
        <v>2583</v>
      </c>
      <c r="E152" s="162" t="s">
        <v>2576</v>
      </c>
      <c r="F152" s="163" t="s">
        <v>17</v>
      </c>
      <c r="G152" s="164">
        <v>50</v>
      </c>
      <c r="H152" s="153">
        <f t="shared" si="5"/>
        <v>450</v>
      </c>
      <c r="I152" s="458">
        <f>+(1040+460)/4</f>
        <v>375</v>
      </c>
      <c r="J152" s="492">
        <f t="shared" si="6"/>
        <v>825</v>
      </c>
      <c r="K152" s="325"/>
      <c r="L152" s="326"/>
    </row>
    <row r="153" spans="1:12" ht="20.25" customHeight="1" x14ac:dyDescent="0.2">
      <c r="A153" s="108">
        <v>149</v>
      </c>
      <c r="B153" s="174" t="s">
        <v>2584</v>
      </c>
      <c r="C153" s="175" t="s">
        <v>2585</v>
      </c>
      <c r="D153" s="176" t="s">
        <v>2586</v>
      </c>
      <c r="E153" s="177" t="s">
        <v>2587</v>
      </c>
      <c r="F153" s="178" t="s">
        <v>8</v>
      </c>
      <c r="G153" s="179">
        <v>150</v>
      </c>
      <c r="H153" s="459">
        <f t="shared" si="5"/>
        <v>350</v>
      </c>
      <c r="I153" s="452">
        <f>+(870+1405)/3</f>
        <v>758.33333333333337</v>
      </c>
      <c r="J153" s="490">
        <f t="shared" si="6"/>
        <v>1108.3333333333335</v>
      </c>
      <c r="K153" s="327"/>
      <c r="L153" s="328"/>
    </row>
    <row r="154" spans="1:12" ht="20.25" customHeight="1" x14ac:dyDescent="0.2">
      <c r="A154" s="253">
        <v>150</v>
      </c>
      <c r="B154" s="78"/>
      <c r="C154" s="79" t="s">
        <v>4946</v>
      </c>
      <c r="D154" s="80"/>
      <c r="E154" s="77">
        <v>2303</v>
      </c>
      <c r="F154" s="79" t="s">
        <v>11</v>
      </c>
      <c r="G154" s="131"/>
      <c r="H154" s="252"/>
      <c r="I154" s="290"/>
      <c r="J154" s="499">
        <f t="shared" si="6"/>
        <v>0</v>
      </c>
      <c r="K154" s="336" t="s">
        <v>4946</v>
      </c>
      <c r="L154" s="324"/>
    </row>
    <row r="155" spans="1:12" ht="20.25" customHeight="1" x14ac:dyDescent="0.2">
      <c r="A155" s="114">
        <v>151</v>
      </c>
      <c r="B155" s="47" t="s">
        <v>2588</v>
      </c>
      <c r="C155" s="10" t="s">
        <v>2589</v>
      </c>
      <c r="D155" s="11" t="s">
        <v>2590</v>
      </c>
      <c r="E155" s="5" t="s">
        <v>2587</v>
      </c>
      <c r="F155" s="100" t="s">
        <v>14</v>
      </c>
      <c r="G155" s="125">
        <v>100</v>
      </c>
      <c r="H155" s="460">
        <f t="shared" si="5"/>
        <v>400</v>
      </c>
      <c r="I155" s="450">
        <f>+(870+1405)/3</f>
        <v>758.33333333333337</v>
      </c>
      <c r="J155" s="491">
        <f t="shared" si="6"/>
        <v>1158.3333333333335</v>
      </c>
      <c r="K155" s="323"/>
      <c r="L155" s="324"/>
    </row>
    <row r="156" spans="1:12" ht="20.25" customHeight="1" thickBot="1" x14ac:dyDescent="0.25">
      <c r="A156" s="158">
        <v>152</v>
      </c>
      <c r="B156" s="192" t="s">
        <v>2591</v>
      </c>
      <c r="C156" s="193" t="s">
        <v>2592</v>
      </c>
      <c r="D156" s="194" t="s">
        <v>2593</v>
      </c>
      <c r="E156" s="195" t="s">
        <v>2587</v>
      </c>
      <c r="F156" s="196" t="s">
        <v>17</v>
      </c>
      <c r="G156" s="197">
        <v>150</v>
      </c>
      <c r="H156" s="462">
        <f t="shared" si="5"/>
        <v>350</v>
      </c>
      <c r="I156" s="461">
        <f>+(870+1405)/3</f>
        <v>758.33333333333337</v>
      </c>
      <c r="J156" s="492">
        <f t="shared" si="6"/>
        <v>1108.3333333333335</v>
      </c>
      <c r="K156" s="325"/>
      <c r="L156" s="326"/>
    </row>
    <row r="157" spans="1:12" ht="20.25" customHeight="1" x14ac:dyDescent="0.2">
      <c r="A157" s="108">
        <v>153</v>
      </c>
      <c r="B157" s="171" t="s">
        <v>2594</v>
      </c>
      <c r="C157" s="110" t="s">
        <v>2522</v>
      </c>
      <c r="D157" s="111" t="s">
        <v>2595</v>
      </c>
      <c r="E157" s="112" t="s">
        <v>2596</v>
      </c>
      <c r="F157" s="113" t="s">
        <v>8</v>
      </c>
      <c r="G157" s="119">
        <v>50</v>
      </c>
      <c r="H157" s="120">
        <f t="shared" si="5"/>
        <v>450</v>
      </c>
      <c r="I157" s="463">
        <f>+(1370+1250)/4</f>
        <v>655</v>
      </c>
      <c r="J157" s="490">
        <f t="shared" si="6"/>
        <v>1105</v>
      </c>
      <c r="K157" s="327"/>
      <c r="L157" s="328"/>
    </row>
    <row r="158" spans="1:12" ht="20.25" customHeight="1" x14ac:dyDescent="0.2">
      <c r="A158" s="114">
        <v>154</v>
      </c>
      <c r="B158" s="1" t="s">
        <v>2597</v>
      </c>
      <c r="C158" s="6" t="s">
        <v>2598</v>
      </c>
      <c r="D158" s="7" t="s">
        <v>2599</v>
      </c>
      <c r="E158" s="2" t="s">
        <v>2596</v>
      </c>
      <c r="F158" s="99" t="s">
        <v>11</v>
      </c>
      <c r="G158" s="121">
        <v>100</v>
      </c>
      <c r="H158" s="122">
        <f t="shared" si="5"/>
        <v>400</v>
      </c>
      <c r="I158" s="450">
        <f>+(1370+1250)/4</f>
        <v>655</v>
      </c>
      <c r="J158" s="491">
        <f t="shared" si="6"/>
        <v>1055</v>
      </c>
      <c r="K158" s="323"/>
      <c r="L158" s="324"/>
    </row>
    <row r="159" spans="1:12" ht="20.25" customHeight="1" x14ac:dyDescent="0.2">
      <c r="A159" s="114">
        <v>155</v>
      </c>
      <c r="B159" s="1" t="s">
        <v>2600</v>
      </c>
      <c r="C159" s="6" t="s">
        <v>2601</v>
      </c>
      <c r="D159" s="7" t="s">
        <v>624</v>
      </c>
      <c r="E159" s="2" t="s">
        <v>2596</v>
      </c>
      <c r="F159" s="99" t="s">
        <v>14</v>
      </c>
      <c r="G159" s="121">
        <v>150</v>
      </c>
      <c r="H159" s="122">
        <f t="shared" si="5"/>
        <v>350</v>
      </c>
      <c r="I159" s="450">
        <f>+(1370+1250)/4</f>
        <v>655</v>
      </c>
      <c r="J159" s="491">
        <f t="shared" si="6"/>
        <v>1005</v>
      </c>
      <c r="K159" s="323"/>
      <c r="L159" s="324"/>
    </row>
    <row r="160" spans="1:12" ht="20.25" customHeight="1" thickBot="1" x14ac:dyDescent="0.25">
      <c r="A160" s="158">
        <v>156</v>
      </c>
      <c r="B160" s="159" t="s">
        <v>2602</v>
      </c>
      <c r="C160" s="160" t="s">
        <v>2603</v>
      </c>
      <c r="D160" s="161" t="s">
        <v>2604</v>
      </c>
      <c r="E160" s="162" t="s">
        <v>2596</v>
      </c>
      <c r="F160" s="163" t="s">
        <v>17</v>
      </c>
      <c r="G160" s="164">
        <v>150</v>
      </c>
      <c r="H160" s="153">
        <f t="shared" si="5"/>
        <v>350</v>
      </c>
      <c r="I160" s="450">
        <f>+(1370+1250)/4</f>
        <v>655</v>
      </c>
      <c r="J160" s="492">
        <f t="shared" si="6"/>
        <v>1005</v>
      </c>
      <c r="K160" s="325"/>
      <c r="L160" s="326"/>
    </row>
    <row r="161" spans="1:12" ht="20.25" customHeight="1" x14ac:dyDescent="0.2">
      <c r="A161" s="108">
        <v>157</v>
      </c>
      <c r="B161" s="171" t="s">
        <v>2605</v>
      </c>
      <c r="C161" s="110" t="s">
        <v>2606</v>
      </c>
      <c r="D161" s="111" t="s">
        <v>2607</v>
      </c>
      <c r="E161" s="112" t="s">
        <v>2608</v>
      </c>
      <c r="F161" s="113" t="s">
        <v>8</v>
      </c>
      <c r="G161" s="119">
        <v>150</v>
      </c>
      <c r="H161" s="120">
        <f t="shared" si="5"/>
        <v>350</v>
      </c>
      <c r="I161" s="452">
        <f>+(285+375)/4</f>
        <v>165</v>
      </c>
      <c r="J161" s="490">
        <f t="shared" si="6"/>
        <v>515</v>
      </c>
      <c r="K161" s="327"/>
      <c r="L161" s="328"/>
    </row>
    <row r="162" spans="1:12" ht="20.25" customHeight="1" x14ac:dyDescent="0.2">
      <c r="A162" s="114">
        <v>158</v>
      </c>
      <c r="B162" s="1" t="s">
        <v>2609</v>
      </c>
      <c r="C162" s="6" t="s">
        <v>2610</v>
      </c>
      <c r="D162" s="7" t="s">
        <v>2611</v>
      </c>
      <c r="E162" s="2" t="s">
        <v>2608</v>
      </c>
      <c r="F162" s="99" t="s">
        <v>11</v>
      </c>
      <c r="G162" s="121">
        <v>150</v>
      </c>
      <c r="H162" s="122">
        <f t="shared" si="5"/>
        <v>350</v>
      </c>
      <c r="I162" s="450">
        <f>+(285+375)/4</f>
        <v>165</v>
      </c>
      <c r="J162" s="491">
        <f t="shared" si="6"/>
        <v>515</v>
      </c>
      <c r="K162" s="323"/>
      <c r="L162" s="324"/>
    </row>
    <row r="163" spans="1:12" ht="20.25" customHeight="1" x14ac:dyDescent="0.2">
      <c r="A163" s="114">
        <v>159</v>
      </c>
      <c r="B163" s="1" t="s">
        <v>2612</v>
      </c>
      <c r="C163" s="6" t="s">
        <v>2613</v>
      </c>
      <c r="D163" s="7" t="s">
        <v>2614</v>
      </c>
      <c r="E163" s="2" t="s">
        <v>2608</v>
      </c>
      <c r="F163" s="99" t="s">
        <v>14</v>
      </c>
      <c r="G163" s="121">
        <v>150</v>
      </c>
      <c r="H163" s="122">
        <f t="shared" si="5"/>
        <v>350</v>
      </c>
      <c r="I163" s="450">
        <f>+(285+375)/4</f>
        <v>165</v>
      </c>
      <c r="J163" s="491">
        <f t="shared" si="6"/>
        <v>515</v>
      </c>
      <c r="K163" s="323"/>
      <c r="L163" s="324"/>
    </row>
    <row r="164" spans="1:12" ht="20.25" customHeight="1" thickBot="1" x14ac:dyDescent="0.25">
      <c r="A164" s="158">
        <v>160</v>
      </c>
      <c r="B164" s="159" t="s">
        <v>2615</v>
      </c>
      <c r="C164" s="160" t="s">
        <v>2616</v>
      </c>
      <c r="D164" s="161" t="s">
        <v>2617</v>
      </c>
      <c r="E164" s="162" t="s">
        <v>2608</v>
      </c>
      <c r="F164" s="163" t="s">
        <v>17</v>
      </c>
      <c r="G164" s="164">
        <v>150</v>
      </c>
      <c r="H164" s="153">
        <f t="shared" si="5"/>
        <v>350</v>
      </c>
      <c r="I164" s="451">
        <f>+(285+375)/4</f>
        <v>165</v>
      </c>
      <c r="J164" s="492">
        <f t="shared" si="6"/>
        <v>515</v>
      </c>
      <c r="K164" s="325"/>
      <c r="L164" s="326"/>
    </row>
    <row r="165" spans="1:12" ht="20.25" customHeight="1" x14ac:dyDescent="0.2">
      <c r="A165" s="108">
        <v>161</v>
      </c>
      <c r="B165" s="171" t="s">
        <v>2618</v>
      </c>
      <c r="C165" s="110" t="s">
        <v>2619</v>
      </c>
      <c r="D165" s="111" t="s">
        <v>2620</v>
      </c>
      <c r="E165" s="112" t="s">
        <v>2621</v>
      </c>
      <c r="F165" s="113" t="s">
        <v>8</v>
      </c>
      <c r="G165" s="119">
        <v>150</v>
      </c>
      <c r="H165" s="120">
        <f t="shared" si="5"/>
        <v>350</v>
      </c>
      <c r="I165" s="452">
        <f>+(425+0)/4</f>
        <v>106.25</v>
      </c>
      <c r="J165" s="490">
        <f t="shared" si="6"/>
        <v>456.25</v>
      </c>
      <c r="K165" s="327"/>
      <c r="L165" s="328"/>
    </row>
    <row r="166" spans="1:12" ht="20.25" customHeight="1" x14ac:dyDescent="0.2">
      <c r="A166" s="114">
        <v>162</v>
      </c>
      <c r="B166" s="1" t="s">
        <v>2622</v>
      </c>
      <c r="C166" s="6" t="s">
        <v>2623</v>
      </c>
      <c r="D166" s="7" t="s">
        <v>2624</v>
      </c>
      <c r="E166" s="2" t="s">
        <v>2621</v>
      </c>
      <c r="F166" s="99" t="s">
        <v>11</v>
      </c>
      <c r="G166" s="121">
        <v>150</v>
      </c>
      <c r="H166" s="122">
        <f t="shared" si="5"/>
        <v>350</v>
      </c>
      <c r="I166" s="450">
        <f>+(425+0)/4</f>
        <v>106.25</v>
      </c>
      <c r="J166" s="491">
        <f t="shared" si="6"/>
        <v>456.25</v>
      </c>
      <c r="K166" s="323"/>
      <c r="L166" s="324"/>
    </row>
    <row r="167" spans="1:12" ht="20.25" customHeight="1" x14ac:dyDescent="0.2">
      <c r="A167" s="114">
        <v>163</v>
      </c>
      <c r="B167" s="1" t="s">
        <v>2625</v>
      </c>
      <c r="C167" s="6" t="s">
        <v>2626</v>
      </c>
      <c r="D167" s="7" t="s">
        <v>2627</v>
      </c>
      <c r="E167" s="2" t="s">
        <v>2621</v>
      </c>
      <c r="F167" s="99" t="s">
        <v>14</v>
      </c>
      <c r="G167" s="121">
        <v>100</v>
      </c>
      <c r="H167" s="122">
        <f t="shared" si="5"/>
        <v>400</v>
      </c>
      <c r="I167" s="450">
        <f>+(425+0)/4</f>
        <v>106.25</v>
      </c>
      <c r="J167" s="491">
        <f t="shared" si="6"/>
        <v>506.25</v>
      </c>
      <c r="K167" s="323"/>
      <c r="L167" s="324"/>
    </row>
    <row r="168" spans="1:12" ht="20.25" customHeight="1" thickBot="1" x14ac:dyDescent="0.25">
      <c r="A168" s="158">
        <v>164</v>
      </c>
      <c r="B168" s="159" t="s">
        <v>2628</v>
      </c>
      <c r="C168" s="160" t="s">
        <v>2629</v>
      </c>
      <c r="D168" s="161" t="s">
        <v>2630</v>
      </c>
      <c r="E168" s="162" t="s">
        <v>2621</v>
      </c>
      <c r="F168" s="163" t="s">
        <v>17</v>
      </c>
      <c r="G168" s="164">
        <v>100</v>
      </c>
      <c r="H168" s="153">
        <f t="shared" si="5"/>
        <v>400</v>
      </c>
      <c r="I168" s="451">
        <f>+(425+0)/4</f>
        <v>106.25</v>
      </c>
      <c r="J168" s="492">
        <f t="shared" si="6"/>
        <v>506.25</v>
      </c>
      <c r="K168" s="325"/>
      <c r="L168" s="326"/>
    </row>
    <row r="169" spans="1:12" ht="20.25" customHeight="1" x14ac:dyDescent="0.2">
      <c r="A169" s="108">
        <v>165</v>
      </c>
      <c r="B169" s="171" t="s">
        <v>2631</v>
      </c>
      <c r="C169" s="110" t="s">
        <v>2632</v>
      </c>
      <c r="D169" s="111" t="s">
        <v>2633</v>
      </c>
      <c r="E169" s="112" t="s">
        <v>2634</v>
      </c>
      <c r="F169" s="113" t="s">
        <v>8</v>
      </c>
      <c r="G169" s="119">
        <v>150</v>
      </c>
      <c r="H169" s="120">
        <f t="shared" si="5"/>
        <v>350</v>
      </c>
      <c r="I169" s="452">
        <f>+(840+1135)/4</f>
        <v>493.75</v>
      </c>
      <c r="J169" s="490">
        <f t="shared" si="6"/>
        <v>843.75</v>
      </c>
      <c r="K169" s="327"/>
      <c r="L169" s="328"/>
    </row>
    <row r="170" spans="1:12" ht="20.25" customHeight="1" x14ac:dyDescent="0.2">
      <c r="A170" s="114">
        <v>166</v>
      </c>
      <c r="B170" s="1" t="s">
        <v>2635</v>
      </c>
      <c r="C170" s="6" t="s">
        <v>2636</v>
      </c>
      <c r="D170" s="7" t="s">
        <v>2637</v>
      </c>
      <c r="E170" s="2" t="s">
        <v>2634</v>
      </c>
      <c r="F170" s="99" t="s">
        <v>11</v>
      </c>
      <c r="G170" s="121">
        <v>150</v>
      </c>
      <c r="H170" s="122">
        <f t="shared" si="5"/>
        <v>350</v>
      </c>
      <c r="I170" s="450">
        <f>+(840+1135)/4</f>
        <v>493.75</v>
      </c>
      <c r="J170" s="491">
        <f t="shared" si="6"/>
        <v>843.75</v>
      </c>
      <c r="K170" s="323"/>
      <c r="L170" s="324"/>
    </row>
    <row r="171" spans="1:12" ht="20.25" customHeight="1" x14ac:dyDescent="0.2">
      <c r="A171" s="114">
        <v>167</v>
      </c>
      <c r="B171" s="1" t="s">
        <v>2638</v>
      </c>
      <c r="C171" s="6" t="s">
        <v>2639</v>
      </c>
      <c r="D171" s="7" t="s">
        <v>1104</v>
      </c>
      <c r="E171" s="2" t="s">
        <v>2634</v>
      </c>
      <c r="F171" s="99" t="s">
        <v>14</v>
      </c>
      <c r="G171" s="121">
        <v>150</v>
      </c>
      <c r="H171" s="122">
        <f t="shared" si="5"/>
        <v>350</v>
      </c>
      <c r="I171" s="450">
        <f>+(840+1135)/4</f>
        <v>493.75</v>
      </c>
      <c r="J171" s="491">
        <f t="shared" si="6"/>
        <v>843.75</v>
      </c>
      <c r="K171" s="323"/>
      <c r="L171" s="324"/>
    </row>
    <row r="172" spans="1:12" ht="20.25" customHeight="1" thickBot="1" x14ac:dyDescent="0.25">
      <c r="A172" s="158">
        <v>168</v>
      </c>
      <c r="B172" s="159" t="s">
        <v>2640</v>
      </c>
      <c r="C172" s="160" t="s">
        <v>2641</v>
      </c>
      <c r="D172" s="161" t="s">
        <v>2642</v>
      </c>
      <c r="E172" s="162" t="s">
        <v>2634</v>
      </c>
      <c r="F172" s="163" t="s">
        <v>17</v>
      </c>
      <c r="G172" s="164">
        <v>100</v>
      </c>
      <c r="H172" s="153">
        <f t="shared" si="5"/>
        <v>400</v>
      </c>
      <c r="I172" s="451">
        <f>+(840+1135)/4</f>
        <v>493.75</v>
      </c>
      <c r="J172" s="492">
        <f t="shared" si="6"/>
        <v>893.75</v>
      </c>
      <c r="K172" s="325"/>
      <c r="L172" s="326"/>
    </row>
    <row r="173" spans="1:12" ht="20.25" customHeight="1" x14ac:dyDescent="0.2">
      <c r="A173" s="108">
        <v>169</v>
      </c>
      <c r="B173" s="171" t="s">
        <v>2643</v>
      </c>
      <c r="C173" s="110" t="s">
        <v>2644</v>
      </c>
      <c r="D173" s="111" t="s">
        <v>2645</v>
      </c>
      <c r="E173" s="112" t="s">
        <v>2646</v>
      </c>
      <c r="F173" s="113" t="s">
        <v>8</v>
      </c>
      <c r="G173" s="119">
        <v>100</v>
      </c>
      <c r="H173" s="120">
        <f t="shared" si="5"/>
        <v>400</v>
      </c>
      <c r="I173" s="452">
        <f>+(1640+300)/4</f>
        <v>485</v>
      </c>
      <c r="J173" s="490">
        <f t="shared" si="6"/>
        <v>885</v>
      </c>
      <c r="K173" s="327"/>
      <c r="L173" s="328"/>
    </row>
    <row r="174" spans="1:12" ht="20.25" customHeight="1" x14ac:dyDescent="0.2">
      <c r="A174" s="114">
        <v>170</v>
      </c>
      <c r="B174" s="1" t="s">
        <v>2647</v>
      </c>
      <c r="C174" s="6" t="s">
        <v>2648</v>
      </c>
      <c r="D174" s="7" t="s">
        <v>2649</v>
      </c>
      <c r="E174" s="2" t="s">
        <v>2646</v>
      </c>
      <c r="F174" s="99" t="s">
        <v>11</v>
      </c>
      <c r="G174" s="121">
        <v>150</v>
      </c>
      <c r="H174" s="122">
        <f t="shared" si="5"/>
        <v>350</v>
      </c>
      <c r="I174" s="450">
        <f>+(1640+300)/4</f>
        <v>485</v>
      </c>
      <c r="J174" s="491">
        <f t="shared" si="6"/>
        <v>835</v>
      </c>
      <c r="K174" s="323"/>
      <c r="L174" s="324"/>
    </row>
    <row r="175" spans="1:12" ht="20.25" customHeight="1" x14ac:dyDescent="0.2">
      <c r="A175" s="114">
        <v>171</v>
      </c>
      <c r="B175" s="1" t="s">
        <v>2650</v>
      </c>
      <c r="C175" s="6" t="s">
        <v>2651</v>
      </c>
      <c r="D175" s="7" t="s">
        <v>1019</v>
      </c>
      <c r="E175" s="2" t="s">
        <v>2646</v>
      </c>
      <c r="F175" s="99" t="s">
        <v>14</v>
      </c>
      <c r="G175" s="121">
        <v>150</v>
      </c>
      <c r="H175" s="122">
        <f t="shared" si="5"/>
        <v>350</v>
      </c>
      <c r="I175" s="450">
        <f>+(1640+300)/4</f>
        <v>485</v>
      </c>
      <c r="J175" s="491">
        <f t="shared" si="6"/>
        <v>835</v>
      </c>
      <c r="K175" s="323"/>
      <c r="L175" s="324"/>
    </row>
    <row r="176" spans="1:12" ht="20.25" customHeight="1" thickBot="1" x14ac:dyDescent="0.25">
      <c r="A176" s="158">
        <v>172</v>
      </c>
      <c r="B176" s="159" t="s">
        <v>2652</v>
      </c>
      <c r="C176" s="160" t="s">
        <v>2653</v>
      </c>
      <c r="D176" s="161" t="s">
        <v>2654</v>
      </c>
      <c r="E176" s="162" t="s">
        <v>2646</v>
      </c>
      <c r="F176" s="163" t="s">
        <v>17</v>
      </c>
      <c r="G176" s="164">
        <v>150</v>
      </c>
      <c r="H176" s="153">
        <f t="shared" si="5"/>
        <v>350</v>
      </c>
      <c r="I176" s="451">
        <f>+(1640+300)/4</f>
        <v>485</v>
      </c>
      <c r="J176" s="492">
        <f t="shared" si="6"/>
        <v>835</v>
      </c>
      <c r="K176" s="325"/>
      <c r="L176" s="326"/>
    </row>
    <row r="177" spans="1:12" ht="20.25" customHeight="1" x14ac:dyDescent="0.2">
      <c r="A177" s="108">
        <v>173</v>
      </c>
      <c r="B177" s="171" t="s">
        <v>2655</v>
      </c>
      <c r="C177" s="110" t="s">
        <v>2656</v>
      </c>
      <c r="D177" s="111" t="s">
        <v>2657</v>
      </c>
      <c r="E177" s="112" t="s">
        <v>2658</v>
      </c>
      <c r="F177" s="113" t="s">
        <v>8</v>
      </c>
      <c r="G177" s="119">
        <v>150</v>
      </c>
      <c r="H177" s="120">
        <f t="shared" si="5"/>
        <v>350</v>
      </c>
      <c r="I177" s="452">
        <f>+(1475+1080)/4</f>
        <v>638.75</v>
      </c>
      <c r="J177" s="490">
        <f t="shared" si="6"/>
        <v>988.75</v>
      </c>
      <c r="K177" s="327"/>
      <c r="L177" s="328"/>
    </row>
    <row r="178" spans="1:12" ht="20.25" customHeight="1" x14ac:dyDescent="0.2">
      <c r="A178" s="114">
        <v>174</v>
      </c>
      <c r="B178" s="1" t="s">
        <v>2659</v>
      </c>
      <c r="C178" s="6" t="s">
        <v>2318</v>
      </c>
      <c r="D178" s="7" t="s">
        <v>2660</v>
      </c>
      <c r="E178" s="2" t="s">
        <v>2658</v>
      </c>
      <c r="F178" s="99" t="s">
        <v>11</v>
      </c>
      <c r="G178" s="121">
        <v>100</v>
      </c>
      <c r="H178" s="122">
        <f t="shared" si="5"/>
        <v>400</v>
      </c>
      <c r="I178" s="450">
        <f>+(1475+1080)/4</f>
        <v>638.75</v>
      </c>
      <c r="J178" s="491">
        <f t="shared" si="6"/>
        <v>1038.75</v>
      </c>
      <c r="K178" s="323"/>
      <c r="L178" s="324"/>
    </row>
    <row r="179" spans="1:12" ht="20.25" customHeight="1" x14ac:dyDescent="0.2">
      <c r="A179" s="114">
        <v>175</v>
      </c>
      <c r="B179" s="1" t="s">
        <v>2661</v>
      </c>
      <c r="C179" s="6" t="s">
        <v>2662</v>
      </c>
      <c r="D179" s="7" t="s">
        <v>2663</v>
      </c>
      <c r="E179" s="2" t="s">
        <v>2658</v>
      </c>
      <c r="F179" s="99" t="s">
        <v>14</v>
      </c>
      <c r="G179" s="121">
        <v>50</v>
      </c>
      <c r="H179" s="122">
        <f t="shared" si="5"/>
        <v>450</v>
      </c>
      <c r="I179" s="450">
        <f>+(1475+1080)/4</f>
        <v>638.75</v>
      </c>
      <c r="J179" s="491">
        <f t="shared" si="6"/>
        <v>1088.75</v>
      </c>
      <c r="K179" s="323"/>
      <c r="L179" s="324"/>
    </row>
    <row r="180" spans="1:12" ht="20.25" customHeight="1" thickBot="1" x14ac:dyDescent="0.25">
      <c r="A180" s="158">
        <v>176</v>
      </c>
      <c r="B180" s="159" t="s">
        <v>2664</v>
      </c>
      <c r="C180" s="160" t="s">
        <v>2263</v>
      </c>
      <c r="D180" s="161" t="s">
        <v>2665</v>
      </c>
      <c r="E180" s="162" t="s">
        <v>2658</v>
      </c>
      <c r="F180" s="163" t="s">
        <v>17</v>
      </c>
      <c r="G180" s="164">
        <v>50</v>
      </c>
      <c r="H180" s="153">
        <f t="shared" si="5"/>
        <v>450</v>
      </c>
      <c r="I180" s="451">
        <f>+(1475+1080)/4</f>
        <v>638.75</v>
      </c>
      <c r="J180" s="492">
        <f t="shared" si="6"/>
        <v>1088.75</v>
      </c>
      <c r="K180" s="325"/>
      <c r="L180" s="326"/>
    </row>
    <row r="181" spans="1:12" ht="20.25" customHeight="1" x14ac:dyDescent="0.2">
      <c r="A181" s="108">
        <v>177</v>
      </c>
      <c r="B181" s="171" t="s">
        <v>2666</v>
      </c>
      <c r="C181" s="110" t="s">
        <v>2177</v>
      </c>
      <c r="D181" s="111" t="s">
        <v>2667</v>
      </c>
      <c r="E181" s="112" t="s">
        <v>2668</v>
      </c>
      <c r="F181" s="113" t="s">
        <v>8</v>
      </c>
      <c r="G181" s="119">
        <v>150</v>
      </c>
      <c r="H181" s="120">
        <f t="shared" si="5"/>
        <v>350</v>
      </c>
      <c r="I181" s="452">
        <f>+(695+205)/4</f>
        <v>225</v>
      </c>
      <c r="J181" s="490">
        <f t="shared" si="6"/>
        <v>575</v>
      </c>
      <c r="K181" s="327"/>
      <c r="L181" s="328"/>
    </row>
    <row r="182" spans="1:12" ht="20.25" customHeight="1" x14ac:dyDescent="0.2">
      <c r="A182" s="114">
        <v>178</v>
      </c>
      <c r="B182" s="1" t="s">
        <v>2669</v>
      </c>
      <c r="C182" s="6" t="s">
        <v>2670</v>
      </c>
      <c r="D182" s="7" t="s">
        <v>2671</v>
      </c>
      <c r="E182" s="2" t="s">
        <v>2668</v>
      </c>
      <c r="F182" s="99" t="s">
        <v>11</v>
      </c>
      <c r="G182" s="121">
        <v>150</v>
      </c>
      <c r="H182" s="122">
        <f t="shared" si="5"/>
        <v>350</v>
      </c>
      <c r="I182" s="450">
        <f>+(695+205)/4</f>
        <v>225</v>
      </c>
      <c r="J182" s="491">
        <f t="shared" si="6"/>
        <v>575</v>
      </c>
      <c r="K182" s="323"/>
      <c r="L182" s="324"/>
    </row>
    <row r="183" spans="1:12" ht="20.25" customHeight="1" x14ac:dyDescent="0.2">
      <c r="A183" s="114">
        <v>179</v>
      </c>
      <c r="B183" s="1" t="s">
        <v>2672</v>
      </c>
      <c r="C183" s="6" t="s">
        <v>2673</v>
      </c>
      <c r="D183" s="7" t="s">
        <v>2674</v>
      </c>
      <c r="E183" s="2" t="s">
        <v>2668</v>
      </c>
      <c r="F183" s="99" t="s">
        <v>14</v>
      </c>
      <c r="G183" s="121">
        <v>150</v>
      </c>
      <c r="H183" s="122">
        <f t="shared" si="5"/>
        <v>350</v>
      </c>
      <c r="I183" s="450">
        <f>+(695+205)/4</f>
        <v>225</v>
      </c>
      <c r="J183" s="491">
        <f t="shared" si="6"/>
        <v>575</v>
      </c>
      <c r="K183" s="323"/>
      <c r="L183" s="324"/>
    </row>
    <row r="184" spans="1:12" ht="20.25" customHeight="1" thickBot="1" x14ac:dyDescent="0.25">
      <c r="A184" s="158">
        <v>180</v>
      </c>
      <c r="B184" s="159" t="s">
        <v>2675</v>
      </c>
      <c r="C184" s="160" t="s">
        <v>2676</v>
      </c>
      <c r="D184" s="161" t="s">
        <v>2677</v>
      </c>
      <c r="E184" s="162" t="s">
        <v>2668</v>
      </c>
      <c r="F184" s="163" t="s">
        <v>17</v>
      </c>
      <c r="G184" s="164">
        <v>150</v>
      </c>
      <c r="H184" s="153">
        <f t="shared" si="5"/>
        <v>350</v>
      </c>
      <c r="I184" s="451">
        <f>+(695+205)/4</f>
        <v>225</v>
      </c>
      <c r="J184" s="492">
        <f t="shared" si="6"/>
        <v>575</v>
      </c>
      <c r="K184" s="325"/>
      <c r="L184" s="326"/>
    </row>
    <row r="185" spans="1:12" ht="20.25" customHeight="1" x14ac:dyDescent="0.2">
      <c r="A185" s="108">
        <v>181</v>
      </c>
      <c r="B185" s="171" t="s">
        <v>2678</v>
      </c>
      <c r="C185" s="110" t="s">
        <v>2679</v>
      </c>
      <c r="D185" s="111" t="s">
        <v>2680</v>
      </c>
      <c r="E185" s="112" t="s">
        <v>2681</v>
      </c>
      <c r="F185" s="113" t="s">
        <v>8</v>
      </c>
      <c r="G185" s="119">
        <v>150</v>
      </c>
      <c r="H185" s="120">
        <f t="shared" si="5"/>
        <v>350</v>
      </c>
      <c r="I185" s="452">
        <f>+(330+135)/4</f>
        <v>116.25</v>
      </c>
      <c r="J185" s="490">
        <f t="shared" si="6"/>
        <v>466.25</v>
      </c>
      <c r="K185" s="327"/>
      <c r="L185" s="328"/>
    </row>
    <row r="186" spans="1:12" ht="20.25" customHeight="1" x14ac:dyDescent="0.2">
      <c r="A186" s="114">
        <v>182</v>
      </c>
      <c r="B186" s="1" t="s">
        <v>2682</v>
      </c>
      <c r="C186" s="6" t="s">
        <v>2683</v>
      </c>
      <c r="D186" s="7" t="s">
        <v>2684</v>
      </c>
      <c r="E186" s="2" t="s">
        <v>2681</v>
      </c>
      <c r="F186" s="99" t="s">
        <v>11</v>
      </c>
      <c r="G186" s="121">
        <v>100</v>
      </c>
      <c r="H186" s="122">
        <f t="shared" si="5"/>
        <v>400</v>
      </c>
      <c r="I186" s="450">
        <f>+(330+135)/4</f>
        <v>116.25</v>
      </c>
      <c r="J186" s="491">
        <f t="shared" si="6"/>
        <v>516.25</v>
      </c>
      <c r="K186" s="323"/>
      <c r="L186" s="324"/>
    </row>
    <row r="187" spans="1:12" ht="20.25" customHeight="1" x14ac:dyDescent="0.2">
      <c r="A187" s="114">
        <v>183</v>
      </c>
      <c r="B187" s="1" t="s">
        <v>2685</v>
      </c>
      <c r="C187" s="6" t="s">
        <v>2686</v>
      </c>
      <c r="D187" s="7" t="s">
        <v>2101</v>
      </c>
      <c r="E187" s="2" t="s">
        <v>2681</v>
      </c>
      <c r="F187" s="99" t="s">
        <v>14</v>
      </c>
      <c r="G187" s="121">
        <v>150</v>
      </c>
      <c r="H187" s="122">
        <f t="shared" si="5"/>
        <v>350</v>
      </c>
      <c r="I187" s="450">
        <f>+(330+135)/4</f>
        <v>116.25</v>
      </c>
      <c r="J187" s="491">
        <f t="shared" si="6"/>
        <v>466.25</v>
      </c>
      <c r="K187" s="323"/>
      <c r="L187" s="324"/>
    </row>
    <row r="188" spans="1:12" ht="20.25" customHeight="1" thickBot="1" x14ac:dyDescent="0.25">
      <c r="A188" s="158">
        <v>184</v>
      </c>
      <c r="B188" s="159" t="s">
        <v>2687</v>
      </c>
      <c r="C188" s="160" t="s">
        <v>2688</v>
      </c>
      <c r="D188" s="161" t="s">
        <v>2689</v>
      </c>
      <c r="E188" s="162" t="s">
        <v>2681</v>
      </c>
      <c r="F188" s="163" t="s">
        <v>17</v>
      </c>
      <c r="G188" s="164">
        <v>150</v>
      </c>
      <c r="H188" s="153">
        <f t="shared" si="5"/>
        <v>350</v>
      </c>
      <c r="I188" s="451">
        <f>+(330+135)/4</f>
        <v>116.25</v>
      </c>
      <c r="J188" s="492">
        <f t="shared" si="6"/>
        <v>466.25</v>
      </c>
      <c r="K188" s="325"/>
      <c r="L188" s="326"/>
    </row>
    <row r="189" spans="1:12" ht="20.25" customHeight="1" x14ac:dyDescent="0.2">
      <c r="A189" s="108">
        <v>185</v>
      </c>
      <c r="B189" s="171" t="s">
        <v>2690</v>
      </c>
      <c r="C189" s="110" t="s">
        <v>2691</v>
      </c>
      <c r="D189" s="111" t="s">
        <v>2692</v>
      </c>
      <c r="E189" s="112" t="s">
        <v>2693</v>
      </c>
      <c r="F189" s="113" t="s">
        <v>8</v>
      </c>
      <c r="G189" s="119">
        <v>150</v>
      </c>
      <c r="H189" s="120">
        <f t="shared" si="5"/>
        <v>350</v>
      </c>
      <c r="I189" s="452">
        <f>+(645+920)/4</f>
        <v>391.25</v>
      </c>
      <c r="J189" s="490">
        <f t="shared" si="6"/>
        <v>741.25</v>
      </c>
      <c r="K189" s="327"/>
      <c r="L189" s="328"/>
    </row>
    <row r="190" spans="1:12" ht="20.25" customHeight="1" x14ac:dyDescent="0.2">
      <c r="A190" s="114">
        <v>186</v>
      </c>
      <c r="B190" s="1" t="s">
        <v>2694</v>
      </c>
      <c r="C190" s="6" t="s">
        <v>2695</v>
      </c>
      <c r="D190" s="7" t="s">
        <v>2696</v>
      </c>
      <c r="E190" s="2" t="s">
        <v>2693</v>
      </c>
      <c r="F190" s="99" t="s">
        <v>11</v>
      </c>
      <c r="G190" s="121">
        <v>150</v>
      </c>
      <c r="H190" s="122">
        <f t="shared" si="5"/>
        <v>350</v>
      </c>
      <c r="I190" s="450">
        <f>+(645+920)/4</f>
        <v>391.25</v>
      </c>
      <c r="J190" s="491">
        <f t="shared" si="6"/>
        <v>741.25</v>
      </c>
      <c r="K190" s="323"/>
      <c r="L190" s="324"/>
    </row>
    <row r="191" spans="1:12" ht="20.25" customHeight="1" x14ac:dyDescent="0.2">
      <c r="A191" s="114">
        <v>187</v>
      </c>
      <c r="B191" s="1" t="s">
        <v>2697</v>
      </c>
      <c r="C191" s="6" t="s">
        <v>2522</v>
      </c>
      <c r="D191" s="7" t="s">
        <v>2698</v>
      </c>
      <c r="E191" s="2" t="s">
        <v>2693</v>
      </c>
      <c r="F191" s="99" t="s">
        <v>14</v>
      </c>
      <c r="G191" s="121">
        <v>150</v>
      </c>
      <c r="H191" s="122">
        <f t="shared" si="5"/>
        <v>350</v>
      </c>
      <c r="I191" s="450">
        <f>+(645+920)/4</f>
        <v>391.25</v>
      </c>
      <c r="J191" s="491">
        <f t="shared" si="6"/>
        <v>741.25</v>
      </c>
      <c r="K191" s="323"/>
      <c r="L191" s="324"/>
    </row>
    <row r="192" spans="1:12" ht="20.25" customHeight="1" thickBot="1" x14ac:dyDescent="0.25">
      <c r="A192" s="158">
        <v>188</v>
      </c>
      <c r="B192" s="159" t="s">
        <v>2699</v>
      </c>
      <c r="C192" s="160" t="s">
        <v>2184</v>
      </c>
      <c r="D192" s="161" t="s">
        <v>2700</v>
      </c>
      <c r="E192" s="162" t="s">
        <v>2693</v>
      </c>
      <c r="F192" s="163" t="s">
        <v>17</v>
      </c>
      <c r="G192" s="164">
        <v>450</v>
      </c>
      <c r="H192" s="153">
        <f t="shared" si="5"/>
        <v>50</v>
      </c>
      <c r="I192" s="451">
        <f>+(645+920)/4</f>
        <v>391.25</v>
      </c>
      <c r="J192" s="492">
        <f t="shared" si="6"/>
        <v>441.25</v>
      </c>
      <c r="K192" s="325"/>
      <c r="L192" s="326"/>
    </row>
    <row r="193" spans="1:12" ht="20.25" customHeight="1" x14ac:dyDescent="0.2">
      <c r="A193" s="108">
        <v>189</v>
      </c>
      <c r="B193" s="171" t="s">
        <v>2701</v>
      </c>
      <c r="C193" s="110" t="s">
        <v>2702</v>
      </c>
      <c r="D193" s="111" t="s">
        <v>2703</v>
      </c>
      <c r="E193" s="112" t="s">
        <v>2704</v>
      </c>
      <c r="F193" s="113" t="s">
        <v>8</v>
      </c>
      <c r="G193" s="119">
        <v>50</v>
      </c>
      <c r="H193" s="120">
        <f t="shared" si="5"/>
        <v>450</v>
      </c>
      <c r="I193" s="452">
        <f>+(1140+555)/4</f>
        <v>423.75</v>
      </c>
      <c r="J193" s="490">
        <f t="shared" si="6"/>
        <v>873.75</v>
      </c>
      <c r="K193" s="327"/>
      <c r="L193" s="328"/>
    </row>
    <row r="194" spans="1:12" ht="20.25" customHeight="1" x14ac:dyDescent="0.2">
      <c r="A194" s="114">
        <v>190</v>
      </c>
      <c r="B194" s="1" t="s">
        <v>2705</v>
      </c>
      <c r="C194" s="6" t="s">
        <v>2706</v>
      </c>
      <c r="D194" s="7" t="s">
        <v>2707</v>
      </c>
      <c r="E194" s="2" t="s">
        <v>2704</v>
      </c>
      <c r="F194" s="99" t="s">
        <v>11</v>
      </c>
      <c r="G194" s="121">
        <v>50</v>
      </c>
      <c r="H194" s="122">
        <f t="shared" si="5"/>
        <v>450</v>
      </c>
      <c r="I194" s="450">
        <f>+(1140+555)/4</f>
        <v>423.75</v>
      </c>
      <c r="J194" s="491">
        <f t="shared" si="6"/>
        <v>873.75</v>
      </c>
      <c r="K194" s="323"/>
      <c r="L194" s="324"/>
    </row>
    <row r="195" spans="1:12" ht="20.25" customHeight="1" x14ac:dyDescent="0.2">
      <c r="A195" s="114">
        <v>191</v>
      </c>
      <c r="B195" s="1" t="s">
        <v>2708</v>
      </c>
      <c r="C195" s="6" t="s">
        <v>2709</v>
      </c>
      <c r="D195" s="7" t="s">
        <v>2710</v>
      </c>
      <c r="E195" s="2" t="s">
        <v>2704</v>
      </c>
      <c r="F195" s="99" t="s">
        <v>14</v>
      </c>
      <c r="G195" s="121">
        <v>50</v>
      </c>
      <c r="H195" s="122">
        <f t="shared" si="5"/>
        <v>450</v>
      </c>
      <c r="I195" s="450">
        <f>+(1140+555)/4</f>
        <v>423.75</v>
      </c>
      <c r="J195" s="491">
        <f t="shared" si="6"/>
        <v>873.75</v>
      </c>
      <c r="K195" s="323"/>
      <c r="L195" s="324"/>
    </row>
    <row r="196" spans="1:12" ht="20.25" customHeight="1" thickBot="1" x14ac:dyDescent="0.25">
      <c r="A196" s="158">
        <v>192</v>
      </c>
      <c r="B196" s="159" t="s">
        <v>2711</v>
      </c>
      <c r="C196" s="160" t="s">
        <v>2712</v>
      </c>
      <c r="D196" s="161" t="s">
        <v>2713</v>
      </c>
      <c r="E196" s="162" t="s">
        <v>2704</v>
      </c>
      <c r="F196" s="163" t="s">
        <v>17</v>
      </c>
      <c r="G196" s="164">
        <v>150</v>
      </c>
      <c r="H196" s="153">
        <f t="shared" ref="H196:H259" si="7">500-G196</f>
        <v>350</v>
      </c>
      <c r="I196" s="451">
        <f>+(1140+555)/4</f>
        <v>423.75</v>
      </c>
      <c r="J196" s="492">
        <f t="shared" si="6"/>
        <v>773.75</v>
      </c>
      <c r="K196" s="325"/>
      <c r="L196" s="326"/>
    </row>
    <row r="197" spans="1:12" ht="20.25" customHeight="1" x14ac:dyDescent="0.2">
      <c r="A197" s="108">
        <v>193</v>
      </c>
      <c r="B197" s="171" t="s">
        <v>2714</v>
      </c>
      <c r="C197" s="110" t="s">
        <v>2715</v>
      </c>
      <c r="D197" s="111" t="s">
        <v>2716</v>
      </c>
      <c r="E197" s="112" t="s">
        <v>2717</v>
      </c>
      <c r="F197" s="113" t="s">
        <v>8</v>
      </c>
      <c r="G197" s="119">
        <v>100</v>
      </c>
      <c r="H197" s="120">
        <f t="shared" si="7"/>
        <v>400</v>
      </c>
      <c r="I197" s="452">
        <f>+(510+300)/4</f>
        <v>202.5</v>
      </c>
      <c r="J197" s="490">
        <f t="shared" si="6"/>
        <v>602.5</v>
      </c>
      <c r="K197" s="327"/>
      <c r="L197" s="328"/>
    </row>
    <row r="198" spans="1:12" ht="20.25" customHeight="1" x14ac:dyDescent="0.2">
      <c r="A198" s="114">
        <v>194</v>
      </c>
      <c r="B198" s="1" t="s">
        <v>2718</v>
      </c>
      <c r="C198" s="6" t="s">
        <v>2719</v>
      </c>
      <c r="D198" s="7" t="s">
        <v>2720</v>
      </c>
      <c r="E198" s="2" t="s">
        <v>2717</v>
      </c>
      <c r="F198" s="99" t="s">
        <v>11</v>
      </c>
      <c r="G198" s="121">
        <v>100</v>
      </c>
      <c r="H198" s="122">
        <f t="shared" si="7"/>
        <v>400</v>
      </c>
      <c r="I198" s="450">
        <f>+(510+300)/4</f>
        <v>202.5</v>
      </c>
      <c r="J198" s="491">
        <f t="shared" si="6"/>
        <v>602.5</v>
      </c>
      <c r="K198" s="323"/>
      <c r="L198" s="324"/>
    </row>
    <row r="199" spans="1:12" ht="20.25" customHeight="1" x14ac:dyDescent="0.2">
      <c r="A199" s="114">
        <v>195</v>
      </c>
      <c r="B199" s="1" t="s">
        <v>2721</v>
      </c>
      <c r="C199" s="6" t="s">
        <v>2722</v>
      </c>
      <c r="D199" s="7" t="s">
        <v>2723</v>
      </c>
      <c r="E199" s="2" t="s">
        <v>2717</v>
      </c>
      <c r="F199" s="99" t="s">
        <v>14</v>
      </c>
      <c r="G199" s="121">
        <v>100</v>
      </c>
      <c r="H199" s="122">
        <f t="shared" si="7"/>
        <v>400</v>
      </c>
      <c r="I199" s="450">
        <f>+(510+300)/4</f>
        <v>202.5</v>
      </c>
      <c r="J199" s="491">
        <f t="shared" si="6"/>
        <v>602.5</v>
      </c>
      <c r="K199" s="323"/>
      <c r="L199" s="324"/>
    </row>
    <row r="200" spans="1:12" ht="20.25" customHeight="1" thickBot="1" x14ac:dyDescent="0.25">
      <c r="A200" s="158">
        <v>196</v>
      </c>
      <c r="B200" s="159" t="s">
        <v>2724</v>
      </c>
      <c r="C200" s="160" t="s">
        <v>2725</v>
      </c>
      <c r="D200" s="161" t="s">
        <v>2726</v>
      </c>
      <c r="E200" s="162" t="s">
        <v>2717</v>
      </c>
      <c r="F200" s="163" t="s">
        <v>17</v>
      </c>
      <c r="G200" s="164">
        <v>100</v>
      </c>
      <c r="H200" s="153">
        <f t="shared" si="7"/>
        <v>400</v>
      </c>
      <c r="I200" s="451">
        <f>+(510+300)/4</f>
        <v>202.5</v>
      </c>
      <c r="J200" s="492">
        <f t="shared" si="6"/>
        <v>602.5</v>
      </c>
      <c r="K200" s="325"/>
      <c r="L200" s="326"/>
    </row>
    <row r="201" spans="1:12" ht="20.25" customHeight="1" x14ac:dyDescent="0.2">
      <c r="A201" s="108">
        <v>197</v>
      </c>
      <c r="B201" s="171" t="s">
        <v>2727</v>
      </c>
      <c r="C201" s="110" t="s">
        <v>2728</v>
      </c>
      <c r="D201" s="111" t="s">
        <v>2729</v>
      </c>
      <c r="E201" s="112" t="s">
        <v>2730</v>
      </c>
      <c r="F201" s="113" t="s">
        <v>8</v>
      </c>
      <c r="G201" s="119">
        <v>150</v>
      </c>
      <c r="H201" s="120">
        <f t="shared" si="7"/>
        <v>350</v>
      </c>
      <c r="I201" s="452">
        <f>+(605+580)/4</f>
        <v>296.25</v>
      </c>
      <c r="J201" s="490">
        <f t="shared" si="6"/>
        <v>646.25</v>
      </c>
      <c r="K201" s="327"/>
      <c r="L201" s="328"/>
    </row>
    <row r="202" spans="1:12" ht="20.25" customHeight="1" x14ac:dyDescent="0.2">
      <c r="A202" s="114">
        <v>198</v>
      </c>
      <c r="B202" s="1" t="s">
        <v>2731</v>
      </c>
      <c r="C202" s="6" t="s">
        <v>2732</v>
      </c>
      <c r="D202" s="7" t="s">
        <v>2733</v>
      </c>
      <c r="E202" s="2" t="s">
        <v>2730</v>
      </c>
      <c r="F202" s="99" t="s">
        <v>11</v>
      </c>
      <c r="G202" s="121">
        <v>100</v>
      </c>
      <c r="H202" s="122">
        <f t="shared" si="7"/>
        <v>400</v>
      </c>
      <c r="I202" s="450">
        <f>+(605+580)/4</f>
        <v>296.25</v>
      </c>
      <c r="J202" s="491">
        <f t="shared" si="6"/>
        <v>696.25</v>
      </c>
      <c r="K202" s="323"/>
      <c r="L202" s="324"/>
    </row>
    <row r="203" spans="1:12" ht="20.25" customHeight="1" x14ac:dyDescent="0.2">
      <c r="A203" s="114">
        <v>199</v>
      </c>
      <c r="B203" s="1" t="s">
        <v>2734</v>
      </c>
      <c r="C203" s="6" t="s">
        <v>2735</v>
      </c>
      <c r="D203" s="7" t="s">
        <v>738</v>
      </c>
      <c r="E203" s="2" t="s">
        <v>2730</v>
      </c>
      <c r="F203" s="99" t="s">
        <v>14</v>
      </c>
      <c r="G203" s="121">
        <v>100</v>
      </c>
      <c r="H203" s="122">
        <f t="shared" si="7"/>
        <v>400</v>
      </c>
      <c r="I203" s="450">
        <f>+(605+580)/4</f>
        <v>296.25</v>
      </c>
      <c r="J203" s="491">
        <f t="shared" si="6"/>
        <v>696.25</v>
      </c>
      <c r="K203" s="323"/>
      <c r="L203" s="324"/>
    </row>
    <row r="204" spans="1:12" ht="20.25" customHeight="1" thickBot="1" x14ac:dyDescent="0.25">
      <c r="A204" s="158">
        <v>200</v>
      </c>
      <c r="B204" s="159" t="s">
        <v>2736</v>
      </c>
      <c r="C204" s="160" t="s">
        <v>2737</v>
      </c>
      <c r="D204" s="161" t="s">
        <v>2738</v>
      </c>
      <c r="E204" s="162" t="s">
        <v>2730</v>
      </c>
      <c r="F204" s="163" t="s">
        <v>17</v>
      </c>
      <c r="G204" s="164">
        <v>100</v>
      </c>
      <c r="H204" s="153">
        <f t="shared" si="7"/>
        <v>400</v>
      </c>
      <c r="I204" s="451">
        <f>+(605+580)/4</f>
        <v>296.25</v>
      </c>
      <c r="J204" s="492">
        <f t="shared" si="6"/>
        <v>696.25</v>
      </c>
      <c r="K204" s="325"/>
      <c r="L204" s="326"/>
    </row>
    <row r="205" spans="1:12" ht="20.25" customHeight="1" x14ac:dyDescent="0.2">
      <c r="A205" s="108">
        <v>201</v>
      </c>
      <c r="B205" s="171" t="s">
        <v>2739</v>
      </c>
      <c r="C205" s="110" t="s">
        <v>2740</v>
      </c>
      <c r="D205" s="111" t="s">
        <v>2741</v>
      </c>
      <c r="E205" s="112" t="s">
        <v>2742</v>
      </c>
      <c r="F205" s="113" t="s">
        <v>8</v>
      </c>
      <c r="G205" s="119">
        <v>100</v>
      </c>
      <c r="H205" s="120">
        <f t="shared" si="7"/>
        <v>400</v>
      </c>
      <c r="I205" s="452">
        <f>+(0+0)/4</f>
        <v>0</v>
      </c>
      <c r="J205" s="490">
        <f t="shared" si="6"/>
        <v>400</v>
      </c>
      <c r="K205" s="327"/>
      <c r="L205" s="328"/>
    </row>
    <row r="206" spans="1:12" ht="20.25" customHeight="1" x14ac:dyDescent="0.2">
      <c r="A206" s="114">
        <v>202</v>
      </c>
      <c r="B206" s="1" t="s">
        <v>2743</v>
      </c>
      <c r="C206" s="6" t="s">
        <v>2744</v>
      </c>
      <c r="D206" s="7" t="s">
        <v>2745</v>
      </c>
      <c r="E206" s="2" t="s">
        <v>2742</v>
      </c>
      <c r="F206" s="99" t="s">
        <v>11</v>
      </c>
      <c r="G206" s="121">
        <v>100</v>
      </c>
      <c r="H206" s="122">
        <f t="shared" si="7"/>
        <v>400</v>
      </c>
      <c r="I206" s="450">
        <f>+(0+0)/4</f>
        <v>0</v>
      </c>
      <c r="J206" s="491">
        <f t="shared" si="6"/>
        <v>400</v>
      </c>
      <c r="K206" s="323"/>
      <c r="L206" s="324"/>
    </row>
    <row r="207" spans="1:12" ht="20.25" customHeight="1" x14ac:dyDescent="0.2">
      <c r="A207" s="114">
        <v>203</v>
      </c>
      <c r="B207" s="1" t="s">
        <v>2746</v>
      </c>
      <c r="C207" s="6" t="s">
        <v>2747</v>
      </c>
      <c r="D207" s="7" t="s">
        <v>2748</v>
      </c>
      <c r="E207" s="2" t="s">
        <v>2742</v>
      </c>
      <c r="F207" s="99" t="s">
        <v>14</v>
      </c>
      <c r="G207" s="121">
        <v>100</v>
      </c>
      <c r="H207" s="122">
        <f t="shared" si="7"/>
        <v>400</v>
      </c>
      <c r="I207" s="450">
        <f>+(0+0)/4</f>
        <v>0</v>
      </c>
      <c r="J207" s="491">
        <f t="shared" si="6"/>
        <v>400</v>
      </c>
      <c r="K207" s="323"/>
      <c r="L207" s="324"/>
    </row>
    <row r="208" spans="1:12" ht="20.25" customHeight="1" thickBot="1" x14ac:dyDescent="0.25">
      <c r="A208" s="158">
        <v>204</v>
      </c>
      <c r="B208" s="159" t="s">
        <v>2749</v>
      </c>
      <c r="C208" s="160" t="s">
        <v>2519</v>
      </c>
      <c r="D208" s="161" t="s">
        <v>2750</v>
      </c>
      <c r="E208" s="162" t="s">
        <v>2742</v>
      </c>
      <c r="F208" s="163" t="s">
        <v>17</v>
      </c>
      <c r="G208" s="164">
        <v>100</v>
      </c>
      <c r="H208" s="153">
        <f t="shared" si="7"/>
        <v>400</v>
      </c>
      <c r="I208" s="451">
        <f>+(0+0)/4</f>
        <v>0</v>
      </c>
      <c r="J208" s="492">
        <f t="shared" si="6"/>
        <v>400</v>
      </c>
      <c r="K208" s="325"/>
      <c r="L208" s="326"/>
    </row>
    <row r="209" spans="1:12" ht="20.25" customHeight="1" x14ac:dyDescent="0.2">
      <c r="A209" s="108">
        <v>205</v>
      </c>
      <c r="B209" s="174" t="s">
        <v>2751</v>
      </c>
      <c r="C209" s="175" t="s">
        <v>2752</v>
      </c>
      <c r="D209" s="176" t="s">
        <v>2753</v>
      </c>
      <c r="E209" s="177" t="s">
        <v>2754</v>
      </c>
      <c r="F209" s="178" t="s">
        <v>8</v>
      </c>
      <c r="G209" s="179">
        <v>150</v>
      </c>
      <c r="H209" s="120">
        <f t="shared" si="7"/>
        <v>350</v>
      </c>
      <c r="I209" s="452">
        <f>+(1650+1200)/4</f>
        <v>712.5</v>
      </c>
      <c r="J209" s="490">
        <f t="shared" ref="J209:J272" si="8">SUM(H209:I209)</f>
        <v>1062.5</v>
      </c>
      <c r="K209" s="327"/>
      <c r="L209" s="328"/>
    </row>
    <row r="210" spans="1:12" ht="20.25" customHeight="1" x14ac:dyDescent="0.2">
      <c r="A210" s="114">
        <v>206</v>
      </c>
      <c r="B210" s="47" t="s">
        <v>4969</v>
      </c>
      <c r="C210" s="10" t="s">
        <v>4892</v>
      </c>
      <c r="D210" s="11" t="s">
        <v>4893</v>
      </c>
      <c r="E210" s="5">
        <v>2317</v>
      </c>
      <c r="F210" s="100">
        <v>2</v>
      </c>
      <c r="G210" s="125">
        <v>150</v>
      </c>
      <c r="H210" s="122">
        <f t="shared" si="7"/>
        <v>350</v>
      </c>
      <c r="I210" s="450">
        <f>+(1650+1200)/4</f>
        <v>712.5</v>
      </c>
      <c r="J210" s="491">
        <f t="shared" si="8"/>
        <v>1062.5</v>
      </c>
      <c r="K210" s="323"/>
      <c r="L210" s="324"/>
    </row>
    <row r="211" spans="1:12" ht="20.25" customHeight="1" x14ac:dyDescent="0.2">
      <c r="A211" s="114">
        <v>207</v>
      </c>
      <c r="B211" s="47" t="s">
        <v>2755</v>
      </c>
      <c r="C211" s="10" t="s">
        <v>2461</v>
      </c>
      <c r="D211" s="11" t="s">
        <v>2756</v>
      </c>
      <c r="E211" s="5" t="s">
        <v>2754</v>
      </c>
      <c r="F211" s="100" t="s">
        <v>14</v>
      </c>
      <c r="G211" s="125">
        <v>150</v>
      </c>
      <c r="H211" s="122">
        <f t="shared" si="7"/>
        <v>350</v>
      </c>
      <c r="I211" s="450">
        <f>+(1650+1200)/4</f>
        <v>712.5</v>
      </c>
      <c r="J211" s="491">
        <f t="shared" si="8"/>
        <v>1062.5</v>
      </c>
      <c r="K211" s="323"/>
      <c r="L211" s="324"/>
    </row>
    <row r="212" spans="1:12" ht="20.25" customHeight="1" thickBot="1" x14ac:dyDescent="0.25">
      <c r="A212" s="158">
        <v>208</v>
      </c>
      <c r="B212" s="192" t="s">
        <v>4970</v>
      </c>
      <c r="C212" s="193" t="s">
        <v>4894</v>
      </c>
      <c r="D212" s="194" t="s">
        <v>4895</v>
      </c>
      <c r="E212" s="195">
        <v>2317</v>
      </c>
      <c r="F212" s="196">
        <v>4</v>
      </c>
      <c r="G212" s="197">
        <v>150</v>
      </c>
      <c r="H212" s="153">
        <f t="shared" si="7"/>
        <v>350</v>
      </c>
      <c r="I212" s="451">
        <f>+(1650+1200)/4</f>
        <v>712.5</v>
      </c>
      <c r="J212" s="492">
        <f t="shared" si="8"/>
        <v>1062.5</v>
      </c>
      <c r="K212" s="325"/>
      <c r="L212" s="326"/>
    </row>
    <row r="213" spans="1:12" ht="20.25" customHeight="1" x14ac:dyDescent="0.2">
      <c r="A213" s="108">
        <v>209</v>
      </c>
      <c r="B213" s="171" t="s">
        <v>2757</v>
      </c>
      <c r="C213" s="110" t="s">
        <v>2758</v>
      </c>
      <c r="D213" s="111" t="s">
        <v>2759</v>
      </c>
      <c r="E213" s="112" t="s">
        <v>2760</v>
      </c>
      <c r="F213" s="113" t="s">
        <v>8</v>
      </c>
      <c r="G213" s="119">
        <v>150</v>
      </c>
      <c r="H213" s="120">
        <f t="shared" si="7"/>
        <v>350</v>
      </c>
      <c r="I213" s="452">
        <f>+(0+0)/4</f>
        <v>0</v>
      </c>
      <c r="J213" s="490">
        <f t="shared" si="8"/>
        <v>350</v>
      </c>
      <c r="K213" s="327"/>
      <c r="L213" s="328"/>
    </row>
    <row r="214" spans="1:12" ht="20.25" customHeight="1" x14ac:dyDescent="0.2">
      <c r="A214" s="114">
        <v>210</v>
      </c>
      <c r="B214" s="1" t="s">
        <v>2761</v>
      </c>
      <c r="C214" s="6" t="s">
        <v>2719</v>
      </c>
      <c r="D214" s="7" t="s">
        <v>2762</v>
      </c>
      <c r="E214" s="2" t="s">
        <v>2760</v>
      </c>
      <c r="F214" s="99" t="s">
        <v>11</v>
      </c>
      <c r="G214" s="121">
        <v>150</v>
      </c>
      <c r="H214" s="122">
        <f t="shared" si="7"/>
        <v>350</v>
      </c>
      <c r="I214" s="450">
        <f>+(0+0)/4</f>
        <v>0</v>
      </c>
      <c r="J214" s="491">
        <f t="shared" si="8"/>
        <v>350</v>
      </c>
      <c r="K214" s="323"/>
      <c r="L214" s="324"/>
    </row>
    <row r="215" spans="1:12" ht="20.25" customHeight="1" x14ac:dyDescent="0.2">
      <c r="A215" s="114">
        <v>211</v>
      </c>
      <c r="B215" s="1" t="s">
        <v>2763</v>
      </c>
      <c r="C215" s="6" t="s">
        <v>2764</v>
      </c>
      <c r="D215" s="7" t="s">
        <v>2765</v>
      </c>
      <c r="E215" s="2" t="s">
        <v>2760</v>
      </c>
      <c r="F215" s="99" t="s">
        <v>14</v>
      </c>
      <c r="G215" s="121">
        <v>150</v>
      </c>
      <c r="H215" s="122">
        <f t="shared" si="7"/>
        <v>350</v>
      </c>
      <c r="I215" s="450">
        <f>+(0+0)/4</f>
        <v>0</v>
      </c>
      <c r="J215" s="491">
        <f t="shared" si="8"/>
        <v>350</v>
      </c>
      <c r="K215" s="323"/>
      <c r="L215" s="324"/>
    </row>
    <row r="216" spans="1:12" ht="20.25" customHeight="1" thickBot="1" x14ac:dyDescent="0.25">
      <c r="A216" s="158">
        <v>212</v>
      </c>
      <c r="B216" s="159" t="s">
        <v>2766</v>
      </c>
      <c r="C216" s="160" t="s">
        <v>2767</v>
      </c>
      <c r="D216" s="161" t="s">
        <v>2768</v>
      </c>
      <c r="E216" s="162" t="s">
        <v>2760</v>
      </c>
      <c r="F216" s="163" t="s">
        <v>17</v>
      </c>
      <c r="G216" s="164">
        <v>150</v>
      </c>
      <c r="H216" s="153">
        <f t="shared" si="7"/>
        <v>350</v>
      </c>
      <c r="I216" s="451">
        <f>+(0+0)/4</f>
        <v>0</v>
      </c>
      <c r="J216" s="492">
        <f t="shared" si="8"/>
        <v>350</v>
      </c>
      <c r="K216" s="325"/>
      <c r="L216" s="326"/>
    </row>
    <row r="217" spans="1:12" ht="20.25" customHeight="1" x14ac:dyDescent="0.2">
      <c r="A217" s="108">
        <v>213</v>
      </c>
      <c r="B217" s="171" t="s">
        <v>2769</v>
      </c>
      <c r="C217" s="110" t="s">
        <v>2770</v>
      </c>
      <c r="D217" s="111" t="s">
        <v>2771</v>
      </c>
      <c r="E217" s="112" t="s">
        <v>2772</v>
      </c>
      <c r="F217" s="113" t="s">
        <v>8</v>
      </c>
      <c r="G217" s="119">
        <v>150</v>
      </c>
      <c r="H217" s="120">
        <f t="shared" si="7"/>
        <v>350</v>
      </c>
      <c r="I217" s="452">
        <f>+(440+640)/4</f>
        <v>270</v>
      </c>
      <c r="J217" s="490">
        <f t="shared" si="8"/>
        <v>620</v>
      </c>
      <c r="K217" s="327"/>
      <c r="L217" s="328"/>
    </row>
    <row r="218" spans="1:12" ht="20.25" customHeight="1" x14ac:dyDescent="0.2">
      <c r="A218" s="114">
        <v>214</v>
      </c>
      <c r="B218" s="1" t="s">
        <v>2773</v>
      </c>
      <c r="C218" s="6" t="s">
        <v>2774</v>
      </c>
      <c r="D218" s="7" t="s">
        <v>2775</v>
      </c>
      <c r="E218" s="2" t="s">
        <v>2772</v>
      </c>
      <c r="F218" s="99" t="s">
        <v>11</v>
      </c>
      <c r="G218" s="121">
        <v>100</v>
      </c>
      <c r="H218" s="122">
        <f t="shared" si="7"/>
        <v>400</v>
      </c>
      <c r="I218" s="450">
        <f>+(440+640)/4</f>
        <v>270</v>
      </c>
      <c r="J218" s="491">
        <f t="shared" si="8"/>
        <v>670</v>
      </c>
      <c r="K218" s="323"/>
      <c r="L218" s="324"/>
    </row>
    <row r="219" spans="1:12" ht="20.25" customHeight="1" x14ac:dyDescent="0.2">
      <c r="A219" s="114">
        <v>215</v>
      </c>
      <c r="B219" s="1" t="s">
        <v>2776</v>
      </c>
      <c r="C219" s="6" t="s">
        <v>2777</v>
      </c>
      <c r="D219" s="7" t="s">
        <v>2778</v>
      </c>
      <c r="E219" s="2" t="s">
        <v>2772</v>
      </c>
      <c r="F219" s="99" t="s">
        <v>14</v>
      </c>
      <c r="G219" s="121">
        <v>150</v>
      </c>
      <c r="H219" s="122">
        <f t="shared" si="7"/>
        <v>350</v>
      </c>
      <c r="I219" s="450">
        <f>+(440+640)/4</f>
        <v>270</v>
      </c>
      <c r="J219" s="491">
        <f t="shared" si="8"/>
        <v>620</v>
      </c>
      <c r="K219" s="323"/>
      <c r="L219" s="324"/>
    </row>
    <row r="220" spans="1:12" ht="20.25" customHeight="1" thickBot="1" x14ac:dyDescent="0.25">
      <c r="A220" s="158">
        <v>216</v>
      </c>
      <c r="B220" s="159" t="s">
        <v>2779</v>
      </c>
      <c r="C220" s="160" t="s">
        <v>2780</v>
      </c>
      <c r="D220" s="161" t="s">
        <v>2781</v>
      </c>
      <c r="E220" s="162" t="s">
        <v>2772</v>
      </c>
      <c r="F220" s="163" t="s">
        <v>17</v>
      </c>
      <c r="G220" s="164">
        <v>100</v>
      </c>
      <c r="H220" s="153">
        <f t="shared" si="7"/>
        <v>400</v>
      </c>
      <c r="I220" s="451">
        <f>+(440+640)/4</f>
        <v>270</v>
      </c>
      <c r="J220" s="492">
        <f t="shared" si="8"/>
        <v>670</v>
      </c>
      <c r="K220" s="325"/>
      <c r="L220" s="326"/>
    </row>
    <row r="221" spans="1:12" ht="20.25" customHeight="1" x14ac:dyDescent="0.2">
      <c r="A221" s="108">
        <v>217</v>
      </c>
      <c r="B221" s="171" t="s">
        <v>2782</v>
      </c>
      <c r="C221" s="110" t="s">
        <v>2783</v>
      </c>
      <c r="D221" s="111" t="s">
        <v>2784</v>
      </c>
      <c r="E221" s="112" t="s">
        <v>2785</v>
      </c>
      <c r="F221" s="113" t="s">
        <v>8</v>
      </c>
      <c r="G221" s="119">
        <v>150</v>
      </c>
      <c r="H221" s="120">
        <f t="shared" si="7"/>
        <v>350</v>
      </c>
      <c r="I221" s="452">
        <f>+(875+0)/4</f>
        <v>218.75</v>
      </c>
      <c r="J221" s="490">
        <f t="shared" si="8"/>
        <v>568.75</v>
      </c>
      <c r="K221" s="327"/>
      <c r="L221" s="328"/>
    </row>
    <row r="222" spans="1:12" s="37" customFormat="1" ht="20.25" customHeight="1" x14ac:dyDescent="0.2">
      <c r="A222" s="116">
        <v>218</v>
      </c>
      <c r="B222" s="46" t="s">
        <v>2786</v>
      </c>
      <c r="C222" s="29" t="s">
        <v>2787</v>
      </c>
      <c r="D222" s="28" t="s">
        <v>2788</v>
      </c>
      <c r="E222" s="30" t="s">
        <v>2785</v>
      </c>
      <c r="F222" s="73" t="s">
        <v>11</v>
      </c>
      <c r="G222" s="126">
        <v>150</v>
      </c>
      <c r="H222" s="127">
        <f t="shared" si="7"/>
        <v>350</v>
      </c>
      <c r="I222" s="294">
        <f>+(875+0)/4</f>
        <v>218.75</v>
      </c>
      <c r="J222" s="497">
        <f t="shared" si="8"/>
        <v>568.75</v>
      </c>
      <c r="K222" s="333" t="s">
        <v>4996</v>
      </c>
      <c r="L222" s="334">
        <v>5500</v>
      </c>
    </row>
    <row r="223" spans="1:12" ht="20.25" customHeight="1" x14ac:dyDescent="0.2">
      <c r="A223" s="114">
        <v>219</v>
      </c>
      <c r="B223" s="1" t="s">
        <v>2789</v>
      </c>
      <c r="C223" s="6" t="s">
        <v>2790</v>
      </c>
      <c r="D223" s="7" t="s">
        <v>2791</v>
      </c>
      <c r="E223" s="2" t="s">
        <v>2785</v>
      </c>
      <c r="F223" s="99" t="s">
        <v>14</v>
      </c>
      <c r="G223" s="121">
        <v>50</v>
      </c>
      <c r="H223" s="122">
        <f t="shared" si="7"/>
        <v>450</v>
      </c>
      <c r="I223" s="450">
        <f>+(875+0)/4</f>
        <v>218.75</v>
      </c>
      <c r="J223" s="491">
        <f t="shared" si="8"/>
        <v>668.75</v>
      </c>
      <c r="K223" s="323"/>
      <c r="L223" s="324"/>
    </row>
    <row r="224" spans="1:12" ht="20.25" customHeight="1" thickBot="1" x14ac:dyDescent="0.25">
      <c r="A224" s="158">
        <v>220</v>
      </c>
      <c r="B224" s="159" t="s">
        <v>2792</v>
      </c>
      <c r="C224" s="160" t="s">
        <v>2793</v>
      </c>
      <c r="D224" s="161" t="s">
        <v>553</v>
      </c>
      <c r="E224" s="162" t="s">
        <v>2785</v>
      </c>
      <c r="F224" s="163" t="s">
        <v>17</v>
      </c>
      <c r="G224" s="164">
        <v>100</v>
      </c>
      <c r="H224" s="153">
        <f t="shared" si="7"/>
        <v>400</v>
      </c>
      <c r="I224" s="451">
        <f>+(875+0)/4</f>
        <v>218.75</v>
      </c>
      <c r="J224" s="492">
        <f t="shared" si="8"/>
        <v>618.75</v>
      </c>
      <c r="K224" s="325"/>
      <c r="L224" s="326"/>
    </row>
    <row r="225" spans="1:12" ht="20.25" customHeight="1" x14ac:dyDescent="0.2">
      <c r="A225" s="108">
        <v>221</v>
      </c>
      <c r="B225" s="174" t="s">
        <v>2794</v>
      </c>
      <c r="C225" s="175" t="s">
        <v>2795</v>
      </c>
      <c r="D225" s="176" t="s">
        <v>2796</v>
      </c>
      <c r="E225" s="177" t="s">
        <v>2797</v>
      </c>
      <c r="F225" s="178" t="s">
        <v>8</v>
      </c>
      <c r="G225" s="179">
        <v>100</v>
      </c>
      <c r="H225" s="120">
        <f t="shared" si="7"/>
        <v>400</v>
      </c>
      <c r="I225" s="452">
        <f>+(1370+1265)/3</f>
        <v>878.33333333333337</v>
      </c>
      <c r="J225" s="490">
        <f t="shared" si="8"/>
        <v>1278.3333333333335</v>
      </c>
      <c r="K225" s="327"/>
      <c r="L225" s="328"/>
    </row>
    <row r="226" spans="1:12" ht="20.25" customHeight="1" x14ac:dyDescent="0.2">
      <c r="A226" s="114">
        <v>222</v>
      </c>
      <c r="B226" s="47" t="s">
        <v>2798</v>
      </c>
      <c r="C226" s="10" t="s">
        <v>2799</v>
      </c>
      <c r="D226" s="11" t="s">
        <v>2800</v>
      </c>
      <c r="E226" s="5" t="s">
        <v>2797</v>
      </c>
      <c r="F226" s="100" t="s">
        <v>11</v>
      </c>
      <c r="G226" s="125">
        <v>100</v>
      </c>
      <c r="H226" s="122">
        <f t="shared" si="7"/>
        <v>400</v>
      </c>
      <c r="I226" s="450">
        <f>+(1370+1265)/3</f>
        <v>878.33333333333337</v>
      </c>
      <c r="J226" s="491">
        <f t="shared" si="8"/>
        <v>1278.3333333333335</v>
      </c>
      <c r="K226" s="323"/>
      <c r="L226" s="324"/>
    </row>
    <row r="227" spans="1:12" ht="20.25" customHeight="1" x14ac:dyDescent="0.2">
      <c r="A227" s="114">
        <v>223</v>
      </c>
      <c r="B227" s="47" t="s">
        <v>2801</v>
      </c>
      <c r="C227" s="10" t="s">
        <v>2802</v>
      </c>
      <c r="D227" s="11" t="s">
        <v>2803</v>
      </c>
      <c r="E227" s="5" t="s">
        <v>2797</v>
      </c>
      <c r="F227" s="100" t="s">
        <v>14</v>
      </c>
      <c r="G227" s="125">
        <v>100</v>
      </c>
      <c r="H227" s="122">
        <f t="shared" si="7"/>
        <v>400</v>
      </c>
      <c r="I227" s="450">
        <f>+(1370+1265)/3</f>
        <v>878.33333333333337</v>
      </c>
      <c r="J227" s="491">
        <f t="shared" si="8"/>
        <v>1278.3333333333335</v>
      </c>
      <c r="K227" s="323"/>
      <c r="L227" s="324"/>
    </row>
    <row r="228" spans="1:12" ht="20.25" customHeight="1" thickBot="1" x14ac:dyDescent="0.25">
      <c r="A228" s="158">
        <v>224</v>
      </c>
      <c r="B228" s="217"/>
      <c r="C228" s="218" t="s">
        <v>4876</v>
      </c>
      <c r="D228" s="219"/>
      <c r="E228" s="220" t="s">
        <v>2797</v>
      </c>
      <c r="F228" s="218" t="s">
        <v>17</v>
      </c>
      <c r="G228" s="221">
        <v>0</v>
      </c>
      <c r="H228" s="222"/>
      <c r="I228" s="291"/>
      <c r="J228" s="492">
        <f t="shared" si="8"/>
        <v>0</v>
      </c>
      <c r="K228" s="337" t="s">
        <v>4876</v>
      </c>
      <c r="L228" s="326"/>
    </row>
    <row r="229" spans="1:12" ht="20.25" customHeight="1" x14ac:dyDescent="0.2">
      <c r="A229" s="108">
        <v>225</v>
      </c>
      <c r="B229" s="171" t="s">
        <v>2804</v>
      </c>
      <c r="C229" s="110" t="s">
        <v>2805</v>
      </c>
      <c r="D229" s="111" t="s">
        <v>2806</v>
      </c>
      <c r="E229" s="112" t="s">
        <v>2807</v>
      </c>
      <c r="F229" s="113" t="s">
        <v>8</v>
      </c>
      <c r="G229" s="119">
        <v>100</v>
      </c>
      <c r="H229" s="120">
        <f t="shared" si="7"/>
        <v>400</v>
      </c>
      <c r="I229" s="452">
        <f>+(1645+845)/4</f>
        <v>622.5</v>
      </c>
      <c r="J229" s="490">
        <f t="shared" si="8"/>
        <v>1022.5</v>
      </c>
      <c r="K229" s="327"/>
      <c r="L229" s="328"/>
    </row>
    <row r="230" spans="1:12" ht="20.25" customHeight="1" x14ac:dyDescent="0.2">
      <c r="A230" s="114">
        <v>226</v>
      </c>
      <c r="B230" s="1" t="s">
        <v>2808</v>
      </c>
      <c r="C230" s="6" t="s">
        <v>2809</v>
      </c>
      <c r="D230" s="7" t="s">
        <v>2810</v>
      </c>
      <c r="E230" s="2" t="s">
        <v>2807</v>
      </c>
      <c r="F230" s="99" t="s">
        <v>11</v>
      </c>
      <c r="G230" s="121">
        <v>150</v>
      </c>
      <c r="H230" s="122">
        <f t="shared" si="7"/>
        <v>350</v>
      </c>
      <c r="I230" s="450">
        <f>+(1645+845)/4</f>
        <v>622.5</v>
      </c>
      <c r="J230" s="491">
        <f t="shared" si="8"/>
        <v>972.5</v>
      </c>
      <c r="K230" s="323"/>
      <c r="L230" s="324"/>
    </row>
    <row r="231" spans="1:12" ht="20.25" customHeight="1" x14ac:dyDescent="0.2">
      <c r="A231" s="114">
        <v>227</v>
      </c>
      <c r="B231" s="1" t="s">
        <v>2811</v>
      </c>
      <c r="C231" s="6" t="s">
        <v>2336</v>
      </c>
      <c r="D231" s="7" t="s">
        <v>2812</v>
      </c>
      <c r="E231" s="2" t="s">
        <v>2807</v>
      </c>
      <c r="F231" s="99" t="s">
        <v>14</v>
      </c>
      <c r="G231" s="121">
        <v>100</v>
      </c>
      <c r="H231" s="122">
        <f t="shared" si="7"/>
        <v>400</v>
      </c>
      <c r="I231" s="450">
        <f>+(1645+845)/4</f>
        <v>622.5</v>
      </c>
      <c r="J231" s="491">
        <f t="shared" si="8"/>
        <v>1022.5</v>
      </c>
      <c r="K231" s="323"/>
      <c r="L231" s="324"/>
    </row>
    <row r="232" spans="1:12" ht="20.25" customHeight="1" thickBot="1" x14ac:dyDescent="0.25">
      <c r="A232" s="158">
        <v>228</v>
      </c>
      <c r="B232" s="159" t="s">
        <v>2813</v>
      </c>
      <c r="C232" s="160" t="s">
        <v>2814</v>
      </c>
      <c r="D232" s="161" t="s">
        <v>221</v>
      </c>
      <c r="E232" s="162" t="s">
        <v>2807</v>
      </c>
      <c r="F232" s="163" t="s">
        <v>17</v>
      </c>
      <c r="G232" s="164">
        <v>100</v>
      </c>
      <c r="H232" s="153">
        <f t="shared" si="7"/>
        <v>400</v>
      </c>
      <c r="I232" s="451">
        <f>+(1645+845)/4</f>
        <v>622.5</v>
      </c>
      <c r="J232" s="492">
        <f t="shared" si="8"/>
        <v>1022.5</v>
      </c>
      <c r="K232" s="325"/>
      <c r="L232" s="326"/>
    </row>
    <row r="233" spans="1:12" ht="20.25" customHeight="1" x14ac:dyDescent="0.2">
      <c r="A233" s="108">
        <v>229</v>
      </c>
      <c r="B233" s="223"/>
      <c r="C233" s="190" t="s">
        <v>4876</v>
      </c>
      <c r="D233" s="224"/>
      <c r="E233" s="189" t="s">
        <v>2818</v>
      </c>
      <c r="F233" s="190" t="s">
        <v>8</v>
      </c>
      <c r="G233" s="225"/>
      <c r="H233" s="191">
        <v>0</v>
      </c>
      <c r="I233" s="287"/>
      <c r="J233" s="490">
        <f t="shared" si="8"/>
        <v>0</v>
      </c>
      <c r="K233" s="330" t="s">
        <v>4876</v>
      </c>
      <c r="L233" s="328"/>
    </row>
    <row r="234" spans="1:12" ht="20.25" customHeight="1" x14ac:dyDescent="0.2">
      <c r="A234" s="114">
        <v>230</v>
      </c>
      <c r="B234" s="47" t="s">
        <v>2815</v>
      </c>
      <c r="C234" s="10" t="s">
        <v>2816</v>
      </c>
      <c r="D234" s="11" t="s">
        <v>2817</v>
      </c>
      <c r="E234" s="5" t="s">
        <v>2818</v>
      </c>
      <c r="F234" s="100" t="s">
        <v>11</v>
      </c>
      <c r="G234" s="125">
        <v>50</v>
      </c>
      <c r="H234" s="122">
        <f t="shared" si="7"/>
        <v>450</v>
      </c>
      <c r="I234" s="450">
        <f>+(950+955)/3</f>
        <v>635</v>
      </c>
      <c r="J234" s="491">
        <f t="shared" si="8"/>
        <v>1085</v>
      </c>
      <c r="K234" s="323"/>
      <c r="L234" s="324"/>
    </row>
    <row r="235" spans="1:12" ht="20.25" customHeight="1" x14ac:dyDescent="0.2">
      <c r="A235" s="114">
        <v>231</v>
      </c>
      <c r="B235" s="47" t="s">
        <v>2819</v>
      </c>
      <c r="C235" s="10" t="s">
        <v>2820</v>
      </c>
      <c r="D235" s="11" t="s">
        <v>2821</v>
      </c>
      <c r="E235" s="5" t="s">
        <v>2818</v>
      </c>
      <c r="F235" s="100" t="s">
        <v>14</v>
      </c>
      <c r="G235" s="125">
        <v>150</v>
      </c>
      <c r="H235" s="122">
        <f t="shared" si="7"/>
        <v>350</v>
      </c>
      <c r="I235" s="450">
        <f>+(950+955)/3</f>
        <v>635</v>
      </c>
      <c r="J235" s="491">
        <f t="shared" si="8"/>
        <v>985</v>
      </c>
      <c r="K235" s="323"/>
      <c r="L235" s="324"/>
    </row>
    <row r="236" spans="1:12" ht="20.25" customHeight="1" thickBot="1" x14ac:dyDescent="0.25">
      <c r="A236" s="158">
        <v>232</v>
      </c>
      <c r="B236" s="192" t="s">
        <v>2822</v>
      </c>
      <c r="C236" s="193" t="s">
        <v>2823</v>
      </c>
      <c r="D236" s="194" t="s">
        <v>2824</v>
      </c>
      <c r="E236" s="195" t="s">
        <v>2818</v>
      </c>
      <c r="F236" s="196" t="s">
        <v>17</v>
      </c>
      <c r="G236" s="197">
        <v>200</v>
      </c>
      <c r="H236" s="153">
        <f t="shared" si="7"/>
        <v>300</v>
      </c>
      <c r="I236" s="451">
        <f>+(950+955)/3</f>
        <v>635</v>
      </c>
      <c r="J236" s="492">
        <f t="shared" si="8"/>
        <v>935</v>
      </c>
      <c r="K236" s="325"/>
      <c r="L236" s="326"/>
    </row>
    <row r="237" spans="1:12" ht="20.25" customHeight="1" x14ac:dyDescent="0.2">
      <c r="A237" s="108">
        <v>233</v>
      </c>
      <c r="B237" s="171" t="s">
        <v>2825</v>
      </c>
      <c r="C237" s="110" t="s">
        <v>2826</v>
      </c>
      <c r="D237" s="111" t="s">
        <v>2827</v>
      </c>
      <c r="E237" s="112" t="s">
        <v>2828</v>
      </c>
      <c r="F237" s="113" t="s">
        <v>8</v>
      </c>
      <c r="G237" s="119">
        <v>100</v>
      </c>
      <c r="H237" s="120">
        <f t="shared" si="7"/>
        <v>400</v>
      </c>
      <c r="I237" s="452">
        <f>+(1355+1280)/4</f>
        <v>658.75</v>
      </c>
      <c r="J237" s="490">
        <f t="shared" si="8"/>
        <v>1058.75</v>
      </c>
      <c r="K237" s="327"/>
      <c r="L237" s="328"/>
    </row>
    <row r="238" spans="1:12" ht="20.25" customHeight="1" x14ac:dyDescent="0.2">
      <c r="A238" s="114">
        <v>234</v>
      </c>
      <c r="B238" s="1" t="s">
        <v>2829</v>
      </c>
      <c r="C238" s="6" t="s">
        <v>2830</v>
      </c>
      <c r="D238" s="7" t="s">
        <v>2831</v>
      </c>
      <c r="E238" s="2" t="s">
        <v>2828</v>
      </c>
      <c r="F238" s="99" t="s">
        <v>11</v>
      </c>
      <c r="G238" s="121">
        <v>50</v>
      </c>
      <c r="H238" s="122">
        <f t="shared" si="7"/>
        <v>450</v>
      </c>
      <c r="I238" s="450">
        <f>+(1355+1280)/4</f>
        <v>658.75</v>
      </c>
      <c r="J238" s="491">
        <f t="shared" si="8"/>
        <v>1108.75</v>
      </c>
      <c r="K238" s="323"/>
      <c r="L238" s="324"/>
    </row>
    <row r="239" spans="1:12" s="37" customFormat="1" ht="20.25" customHeight="1" x14ac:dyDescent="0.2">
      <c r="A239" s="116">
        <v>235</v>
      </c>
      <c r="B239" s="46" t="s">
        <v>2832</v>
      </c>
      <c r="C239" s="29" t="s">
        <v>2833</v>
      </c>
      <c r="D239" s="28" t="s">
        <v>2834</v>
      </c>
      <c r="E239" s="30" t="s">
        <v>2828</v>
      </c>
      <c r="F239" s="73" t="s">
        <v>14</v>
      </c>
      <c r="G239" s="126">
        <v>150</v>
      </c>
      <c r="H239" s="127">
        <f t="shared" si="7"/>
        <v>350</v>
      </c>
      <c r="I239" s="294">
        <f>+(1355+1280)/4</f>
        <v>658.75</v>
      </c>
      <c r="J239" s="497">
        <f t="shared" si="8"/>
        <v>1008.75</v>
      </c>
      <c r="K239" s="333" t="s">
        <v>4996</v>
      </c>
      <c r="L239" s="334">
        <f>5500+5500</f>
        <v>11000</v>
      </c>
    </row>
    <row r="240" spans="1:12" ht="20.25" customHeight="1" thickBot="1" x14ac:dyDescent="0.25">
      <c r="A240" s="158">
        <v>236</v>
      </c>
      <c r="B240" s="159" t="s">
        <v>2835</v>
      </c>
      <c r="C240" s="160" t="s">
        <v>2582</v>
      </c>
      <c r="D240" s="161" t="s">
        <v>2836</v>
      </c>
      <c r="E240" s="162" t="s">
        <v>2828</v>
      </c>
      <c r="F240" s="163" t="s">
        <v>17</v>
      </c>
      <c r="G240" s="164">
        <v>100</v>
      </c>
      <c r="H240" s="153">
        <f t="shared" si="7"/>
        <v>400</v>
      </c>
      <c r="I240" s="451">
        <f>+(1355+1280)/4</f>
        <v>658.75</v>
      </c>
      <c r="J240" s="492">
        <f t="shared" si="8"/>
        <v>1058.75</v>
      </c>
      <c r="K240" s="325"/>
      <c r="L240" s="326"/>
    </row>
    <row r="241" spans="1:12" ht="20.25" customHeight="1" x14ac:dyDescent="0.2">
      <c r="A241" s="108">
        <v>237</v>
      </c>
      <c r="B241" s="171" t="s">
        <v>2837</v>
      </c>
      <c r="C241" s="110" t="s">
        <v>2838</v>
      </c>
      <c r="D241" s="111" t="s">
        <v>2839</v>
      </c>
      <c r="E241" s="112" t="s">
        <v>2840</v>
      </c>
      <c r="F241" s="113" t="s">
        <v>8</v>
      </c>
      <c r="G241" s="119">
        <v>100</v>
      </c>
      <c r="H241" s="120">
        <f t="shared" si="7"/>
        <v>400</v>
      </c>
      <c r="I241" s="452">
        <f>+(510+495)/4</f>
        <v>251.25</v>
      </c>
      <c r="J241" s="490">
        <f t="shared" si="8"/>
        <v>651.25</v>
      </c>
      <c r="K241" s="327"/>
      <c r="L241" s="328"/>
    </row>
    <row r="242" spans="1:12" ht="20.25" customHeight="1" x14ac:dyDescent="0.2">
      <c r="A242" s="114">
        <v>238</v>
      </c>
      <c r="B242" s="1" t="s">
        <v>2841</v>
      </c>
      <c r="C242" s="6" t="s">
        <v>2842</v>
      </c>
      <c r="D242" s="7" t="s">
        <v>2843</v>
      </c>
      <c r="E242" s="2" t="s">
        <v>2840</v>
      </c>
      <c r="F242" s="99" t="s">
        <v>11</v>
      </c>
      <c r="G242" s="121">
        <v>100</v>
      </c>
      <c r="H242" s="122">
        <f t="shared" si="7"/>
        <v>400</v>
      </c>
      <c r="I242" s="450">
        <f>+(510+495)/4</f>
        <v>251.25</v>
      </c>
      <c r="J242" s="491">
        <f t="shared" si="8"/>
        <v>651.25</v>
      </c>
      <c r="K242" s="323"/>
      <c r="L242" s="324"/>
    </row>
    <row r="243" spans="1:12" ht="20.25" customHeight="1" x14ac:dyDescent="0.2">
      <c r="A243" s="114">
        <v>239</v>
      </c>
      <c r="B243" s="1" t="s">
        <v>2844</v>
      </c>
      <c r="C243" s="6" t="s">
        <v>2845</v>
      </c>
      <c r="D243" s="7" t="s">
        <v>2846</v>
      </c>
      <c r="E243" s="2" t="s">
        <v>2840</v>
      </c>
      <c r="F243" s="99" t="s">
        <v>14</v>
      </c>
      <c r="G243" s="121">
        <v>100</v>
      </c>
      <c r="H243" s="122">
        <f t="shared" si="7"/>
        <v>400</v>
      </c>
      <c r="I243" s="450">
        <f>+(510+495)/4</f>
        <v>251.25</v>
      </c>
      <c r="J243" s="491">
        <f t="shared" si="8"/>
        <v>651.25</v>
      </c>
      <c r="K243" s="323"/>
      <c r="L243" s="324"/>
    </row>
    <row r="244" spans="1:12" ht="20.25" customHeight="1" thickBot="1" x14ac:dyDescent="0.25">
      <c r="A244" s="158">
        <v>240</v>
      </c>
      <c r="B244" s="159" t="s">
        <v>2847</v>
      </c>
      <c r="C244" s="160" t="s">
        <v>2848</v>
      </c>
      <c r="D244" s="161" t="s">
        <v>104</v>
      </c>
      <c r="E244" s="162" t="s">
        <v>2840</v>
      </c>
      <c r="F244" s="163" t="s">
        <v>17</v>
      </c>
      <c r="G244" s="164">
        <v>100</v>
      </c>
      <c r="H244" s="153">
        <f t="shared" si="7"/>
        <v>400</v>
      </c>
      <c r="I244" s="451">
        <f>+(510+495)/4</f>
        <v>251.25</v>
      </c>
      <c r="J244" s="492">
        <f t="shared" si="8"/>
        <v>651.25</v>
      </c>
      <c r="K244" s="325"/>
      <c r="L244" s="326"/>
    </row>
    <row r="245" spans="1:12" ht="20.25" customHeight="1" x14ac:dyDescent="0.2">
      <c r="A245" s="108">
        <v>241</v>
      </c>
      <c r="B245" s="171" t="s">
        <v>2849</v>
      </c>
      <c r="C245" s="110" t="s">
        <v>2336</v>
      </c>
      <c r="D245" s="111" t="s">
        <v>2850</v>
      </c>
      <c r="E245" s="112" t="s">
        <v>2851</v>
      </c>
      <c r="F245" s="113" t="s">
        <v>8</v>
      </c>
      <c r="G245" s="119">
        <v>150</v>
      </c>
      <c r="H245" s="120">
        <f t="shared" si="7"/>
        <v>350</v>
      </c>
      <c r="I245" s="452">
        <f>+(1335+725)/4</f>
        <v>515</v>
      </c>
      <c r="J245" s="490">
        <f t="shared" si="8"/>
        <v>865</v>
      </c>
      <c r="K245" s="327"/>
      <c r="L245" s="328"/>
    </row>
    <row r="246" spans="1:12" ht="20.25" customHeight="1" x14ac:dyDescent="0.2">
      <c r="A246" s="114">
        <v>242</v>
      </c>
      <c r="B246" s="1" t="s">
        <v>2852</v>
      </c>
      <c r="C246" s="6" t="s">
        <v>2853</v>
      </c>
      <c r="D246" s="7" t="s">
        <v>2854</v>
      </c>
      <c r="E246" s="2" t="s">
        <v>2851</v>
      </c>
      <c r="F246" s="99" t="s">
        <v>11</v>
      </c>
      <c r="G246" s="121">
        <v>50</v>
      </c>
      <c r="H246" s="122">
        <f t="shared" si="7"/>
        <v>450</v>
      </c>
      <c r="I246" s="450">
        <f>+(1335+725)/4</f>
        <v>515</v>
      </c>
      <c r="J246" s="491">
        <f t="shared" si="8"/>
        <v>965</v>
      </c>
      <c r="K246" s="323"/>
      <c r="L246" s="324"/>
    </row>
    <row r="247" spans="1:12" ht="20.25" customHeight="1" x14ac:dyDescent="0.2">
      <c r="A247" s="114">
        <v>243</v>
      </c>
      <c r="B247" s="1" t="s">
        <v>2855</v>
      </c>
      <c r="C247" s="6" t="s">
        <v>2856</v>
      </c>
      <c r="D247" s="7" t="s">
        <v>2857</v>
      </c>
      <c r="E247" s="2" t="s">
        <v>2851</v>
      </c>
      <c r="F247" s="99" t="s">
        <v>14</v>
      </c>
      <c r="G247" s="121">
        <v>50</v>
      </c>
      <c r="H247" s="122">
        <f t="shared" si="7"/>
        <v>450</v>
      </c>
      <c r="I247" s="450">
        <f>+(1335+725)/4</f>
        <v>515</v>
      </c>
      <c r="J247" s="491">
        <f t="shared" si="8"/>
        <v>965</v>
      </c>
      <c r="K247" s="323"/>
      <c r="L247" s="324"/>
    </row>
    <row r="248" spans="1:12" ht="20.25" customHeight="1" thickBot="1" x14ac:dyDescent="0.25">
      <c r="A248" s="158">
        <v>244</v>
      </c>
      <c r="B248" s="159" t="s">
        <v>2858</v>
      </c>
      <c r="C248" s="160" t="s">
        <v>2859</v>
      </c>
      <c r="D248" s="161" t="s">
        <v>2860</v>
      </c>
      <c r="E248" s="162" t="s">
        <v>2851</v>
      </c>
      <c r="F248" s="163" t="s">
        <v>17</v>
      </c>
      <c r="G248" s="164">
        <v>150</v>
      </c>
      <c r="H248" s="153">
        <f t="shared" si="7"/>
        <v>350</v>
      </c>
      <c r="I248" s="451">
        <f>+(1335+725)/4</f>
        <v>515</v>
      </c>
      <c r="J248" s="492">
        <f t="shared" si="8"/>
        <v>865</v>
      </c>
      <c r="K248" s="325"/>
      <c r="L248" s="326"/>
    </row>
    <row r="249" spans="1:12" ht="20.25" customHeight="1" x14ac:dyDescent="0.2">
      <c r="A249" s="108">
        <v>245</v>
      </c>
      <c r="B249" s="171" t="s">
        <v>2861</v>
      </c>
      <c r="C249" s="110" t="s">
        <v>2862</v>
      </c>
      <c r="D249" s="111" t="s">
        <v>1871</v>
      </c>
      <c r="E249" s="112" t="s">
        <v>2863</v>
      </c>
      <c r="F249" s="113" t="s">
        <v>8</v>
      </c>
      <c r="G249" s="119">
        <v>150</v>
      </c>
      <c r="H249" s="120">
        <f t="shared" si="7"/>
        <v>350</v>
      </c>
      <c r="I249" s="452">
        <f>+(0+285)/4</f>
        <v>71.25</v>
      </c>
      <c r="J249" s="490">
        <f t="shared" si="8"/>
        <v>421.25</v>
      </c>
      <c r="K249" s="327"/>
      <c r="L249" s="328"/>
    </row>
    <row r="250" spans="1:12" ht="20.25" customHeight="1" x14ac:dyDescent="0.2">
      <c r="A250" s="114">
        <v>246</v>
      </c>
      <c r="B250" s="1" t="s">
        <v>2864</v>
      </c>
      <c r="C250" s="6" t="s">
        <v>2865</v>
      </c>
      <c r="D250" s="7" t="s">
        <v>2866</v>
      </c>
      <c r="E250" s="2" t="s">
        <v>2863</v>
      </c>
      <c r="F250" s="99" t="s">
        <v>11</v>
      </c>
      <c r="G250" s="121">
        <v>100</v>
      </c>
      <c r="H250" s="122">
        <f t="shared" si="7"/>
        <v>400</v>
      </c>
      <c r="I250" s="450">
        <f>+(0+285)/4</f>
        <v>71.25</v>
      </c>
      <c r="J250" s="491">
        <f t="shared" si="8"/>
        <v>471.25</v>
      </c>
      <c r="K250" s="323"/>
      <c r="L250" s="324"/>
    </row>
    <row r="251" spans="1:12" ht="20.25" customHeight="1" x14ac:dyDescent="0.2">
      <c r="A251" s="114">
        <v>247</v>
      </c>
      <c r="B251" s="1" t="s">
        <v>2867</v>
      </c>
      <c r="C251" s="6" t="s">
        <v>2868</v>
      </c>
      <c r="D251" s="7" t="s">
        <v>2869</v>
      </c>
      <c r="E251" s="2" t="s">
        <v>2863</v>
      </c>
      <c r="F251" s="99" t="s">
        <v>14</v>
      </c>
      <c r="G251" s="121">
        <v>100</v>
      </c>
      <c r="H251" s="122">
        <f t="shared" si="7"/>
        <v>400</v>
      </c>
      <c r="I251" s="450">
        <f>+(0+285)/4</f>
        <v>71.25</v>
      </c>
      <c r="J251" s="491">
        <f t="shared" si="8"/>
        <v>471.25</v>
      </c>
      <c r="K251" s="323"/>
      <c r="L251" s="324"/>
    </row>
    <row r="252" spans="1:12" ht="20.25" customHeight="1" thickBot="1" x14ac:dyDescent="0.25">
      <c r="A252" s="158">
        <v>248</v>
      </c>
      <c r="B252" s="159" t="s">
        <v>2870</v>
      </c>
      <c r="C252" s="160" t="s">
        <v>2871</v>
      </c>
      <c r="D252" s="161" t="s">
        <v>2872</v>
      </c>
      <c r="E252" s="162" t="s">
        <v>2863</v>
      </c>
      <c r="F252" s="163" t="s">
        <v>17</v>
      </c>
      <c r="G252" s="164">
        <v>100</v>
      </c>
      <c r="H252" s="153">
        <f t="shared" si="7"/>
        <v>400</v>
      </c>
      <c r="I252" s="451">
        <f>+(0+285)/4</f>
        <v>71.25</v>
      </c>
      <c r="J252" s="492">
        <f t="shared" si="8"/>
        <v>471.25</v>
      </c>
      <c r="K252" s="325"/>
      <c r="L252" s="326"/>
    </row>
    <row r="253" spans="1:12" ht="20.25" customHeight="1" x14ac:dyDescent="0.2">
      <c r="A253" s="108">
        <v>249</v>
      </c>
      <c r="B253" s="171" t="s">
        <v>2873</v>
      </c>
      <c r="C253" s="110" t="s">
        <v>2874</v>
      </c>
      <c r="D253" s="111" t="s">
        <v>2875</v>
      </c>
      <c r="E253" s="112" t="s">
        <v>2876</v>
      </c>
      <c r="F253" s="113" t="s">
        <v>8</v>
      </c>
      <c r="G253" s="119">
        <v>150</v>
      </c>
      <c r="H253" s="120">
        <f t="shared" si="7"/>
        <v>350</v>
      </c>
      <c r="I253" s="452">
        <f>+(635+0)/4</f>
        <v>158.75</v>
      </c>
      <c r="J253" s="490">
        <f t="shared" si="8"/>
        <v>508.75</v>
      </c>
      <c r="K253" s="327"/>
      <c r="L253" s="328"/>
    </row>
    <row r="254" spans="1:12" ht="20.25" customHeight="1" x14ac:dyDescent="0.2">
      <c r="A254" s="114">
        <v>250</v>
      </c>
      <c r="B254" s="1" t="s">
        <v>2877</v>
      </c>
      <c r="C254" s="6" t="s">
        <v>2878</v>
      </c>
      <c r="D254" s="7" t="s">
        <v>2879</v>
      </c>
      <c r="E254" s="2" t="s">
        <v>2876</v>
      </c>
      <c r="F254" s="99" t="s">
        <v>11</v>
      </c>
      <c r="G254" s="121">
        <v>100</v>
      </c>
      <c r="H254" s="122">
        <f t="shared" si="7"/>
        <v>400</v>
      </c>
      <c r="I254" s="450">
        <f>+(635+0)/4</f>
        <v>158.75</v>
      </c>
      <c r="J254" s="491">
        <f t="shared" si="8"/>
        <v>558.75</v>
      </c>
      <c r="K254" s="323"/>
      <c r="L254" s="324"/>
    </row>
    <row r="255" spans="1:12" ht="20.25" customHeight="1" x14ac:dyDescent="0.2">
      <c r="A255" s="114">
        <v>251</v>
      </c>
      <c r="B255" s="1" t="s">
        <v>2880</v>
      </c>
      <c r="C255" s="6" t="s">
        <v>2881</v>
      </c>
      <c r="D255" s="7" t="s">
        <v>2882</v>
      </c>
      <c r="E255" s="2" t="s">
        <v>2876</v>
      </c>
      <c r="F255" s="99" t="s">
        <v>14</v>
      </c>
      <c r="G255" s="121">
        <v>50</v>
      </c>
      <c r="H255" s="122">
        <f t="shared" si="7"/>
        <v>450</v>
      </c>
      <c r="I255" s="450">
        <f>+(635+0)/4</f>
        <v>158.75</v>
      </c>
      <c r="J255" s="491">
        <f t="shared" si="8"/>
        <v>608.75</v>
      </c>
      <c r="K255" s="323"/>
      <c r="L255" s="324"/>
    </row>
    <row r="256" spans="1:12" ht="20.25" customHeight="1" thickBot="1" x14ac:dyDescent="0.25">
      <c r="A256" s="158">
        <v>252</v>
      </c>
      <c r="B256" s="159" t="s">
        <v>2883</v>
      </c>
      <c r="C256" s="160" t="s">
        <v>2884</v>
      </c>
      <c r="D256" s="161" t="s">
        <v>2885</v>
      </c>
      <c r="E256" s="162" t="s">
        <v>2876</v>
      </c>
      <c r="F256" s="163" t="s">
        <v>17</v>
      </c>
      <c r="G256" s="164">
        <v>150</v>
      </c>
      <c r="H256" s="153">
        <f t="shared" si="7"/>
        <v>350</v>
      </c>
      <c r="I256" s="451">
        <f>+(635+0)/4</f>
        <v>158.75</v>
      </c>
      <c r="J256" s="492">
        <f t="shared" si="8"/>
        <v>508.75</v>
      </c>
      <c r="K256" s="325"/>
      <c r="L256" s="326"/>
    </row>
    <row r="257" spans="1:12" ht="20.25" customHeight="1" x14ac:dyDescent="0.2">
      <c r="A257" s="108">
        <v>253</v>
      </c>
      <c r="B257" s="171" t="s">
        <v>2886</v>
      </c>
      <c r="C257" s="110" t="s">
        <v>2887</v>
      </c>
      <c r="D257" s="111" t="s">
        <v>2888</v>
      </c>
      <c r="E257" s="112" t="s">
        <v>2889</v>
      </c>
      <c r="F257" s="113" t="s">
        <v>8</v>
      </c>
      <c r="G257" s="119">
        <v>150</v>
      </c>
      <c r="H257" s="120">
        <f t="shared" si="7"/>
        <v>350</v>
      </c>
      <c r="I257" s="452">
        <f>+(1430+1050)/4</f>
        <v>620</v>
      </c>
      <c r="J257" s="490">
        <f t="shared" si="8"/>
        <v>970</v>
      </c>
      <c r="K257" s="327"/>
      <c r="L257" s="328"/>
    </row>
    <row r="258" spans="1:12" ht="20.25" customHeight="1" x14ac:dyDescent="0.2">
      <c r="A258" s="114">
        <v>254</v>
      </c>
      <c r="B258" s="1" t="s">
        <v>2890</v>
      </c>
      <c r="C258" s="6" t="s">
        <v>2891</v>
      </c>
      <c r="D258" s="7" t="s">
        <v>2892</v>
      </c>
      <c r="E258" s="2" t="s">
        <v>2889</v>
      </c>
      <c r="F258" s="99" t="s">
        <v>11</v>
      </c>
      <c r="G258" s="121">
        <v>100</v>
      </c>
      <c r="H258" s="122">
        <f t="shared" si="7"/>
        <v>400</v>
      </c>
      <c r="I258" s="450">
        <f>+(1430+1050)/4</f>
        <v>620</v>
      </c>
      <c r="J258" s="491">
        <f t="shared" si="8"/>
        <v>1020</v>
      </c>
      <c r="K258" s="323"/>
      <c r="L258" s="324"/>
    </row>
    <row r="259" spans="1:12" ht="20.25" customHeight="1" x14ac:dyDescent="0.2">
      <c r="A259" s="114">
        <v>255</v>
      </c>
      <c r="B259" s="1" t="s">
        <v>2893</v>
      </c>
      <c r="C259" s="6" t="s">
        <v>2894</v>
      </c>
      <c r="D259" s="7" t="s">
        <v>2895</v>
      </c>
      <c r="E259" s="2" t="s">
        <v>2889</v>
      </c>
      <c r="F259" s="99" t="s">
        <v>14</v>
      </c>
      <c r="G259" s="121">
        <v>100</v>
      </c>
      <c r="H259" s="122">
        <f t="shared" si="7"/>
        <v>400</v>
      </c>
      <c r="I259" s="450">
        <f>+(1430+1050)/4</f>
        <v>620</v>
      </c>
      <c r="J259" s="491">
        <f t="shared" si="8"/>
        <v>1020</v>
      </c>
      <c r="K259" s="323"/>
      <c r="L259" s="324"/>
    </row>
    <row r="260" spans="1:12" ht="20.25" customHeight="1" thickBot="1" x14ac:dyDescent="0.25">
      <c r="A260" s="158">
        <v>256</v>
      </c>
      <c r="B260" s="159" t="s">
        <v>2896</v>
      </c>
      <c r="C260" s="160" t="s">
        <v>2848</v>
      </c>
      <c r="D260" s="161" t="s">
        <v>2897</v>
      </c>
      <c r="E260" s="162" t="s">
        <v>2889</v>
      </c>
      <c r="F260" s="163" t="s">
        <v>17</v>
      </c>
      <c r="G260" s="164">
        <v>100</v>
      </c>
      <c r="H260" s="153">
        <f t="shared" ref="H260:H323" si="9">500-G260</f>
        <v>400</v>
      </c>
      <c r="I260" s="451">
        <f>+(1430+1050)/4</f>
        <v>620</v>
      </c>
      <c r="J260" s="492">
        <f t="shared" si="8"/>
        <v>1020</v>
      </c>
      <c r="K260" s="325"/>
      <c r="L260" s="326"/>
    </row>
    <row r="261" spans="1:12" ht="20.25" customHeight="1" x14ac:dyDescent="0.2">
      <c r="A261" s="108">
        <v>257</v>
      </c>
      <c r="B261" s="171" t="s">
        <v>2898</v>
      </c>
      <c r="C261" s="110" t="s">
        <v>2899</v>
      </c>
      <c r="D261" s="111" t="s">
        <v>2900</v>
      </c>
      <c r="E261" s="112" t="s">
        <v>2901</v>
      </c>
      <c r="F261" s="113" t="s">
        <v>8</v>
      </c>
      <c r="G261" s="119">
        <v>100</v>
      </c>
      <c r="H261" s="120">
        <f t="shared" si="9"/>
        <v>400</v>
      </c>
      <c r="I261" s="452">
        <f>+(145+185)/4</f>
        <v>82.5</v>
      </c>
      <c r="J261" s="490">
        <f t="shared" si="8"/>
        <v>482.5</v>
      </c>
      <c r="K261" s="327"/>
      <c r="L261" s="328"/>
    </row>
    <row r="262" spans="1:12" ht="20.25" customHeight="1" x14ac:dyDescent="0.2">
      <c r="A262" s="114">
        <v>258</v>
      </c>
      <c r="B262" s="1" t="s">
        <v>2902</v>
      </c>
      <c r="C262" s="6" t="s">
        <v>2529</v>
      </c>
      <c r="D262" s="7" t="s">
        <v>2903</v>
      </c>
      <c r="E262" s="2" t="s">
        <v>2901</v>
      </c>
      <c r="F262" s="99" t="s">
        <v>11</v>
      </c>
      <c r="G262" s="121">
        <v>150</v>
      </c>
      <c r="H262" s="122">
        <f t="shared" si="9"/>
        <v>350</v>
      </c>
      <c r="I262" s="450">
        <f>+(145+185)/4</f>
        <v>82.5</v>
      </c>
      <c r="J262" s="491">
        <f t="shared" si="8"/>
        <v>432.5</v>
      </c>
      <c r="K262" s="323"/>
      <c r="L262" s="324"/>
    </row>
    <row r="263" spans="1:12" ht="20.25" customHeight="1" x14ac:dyDescent="0.2">
      <c r="A263" s="114">
        <v>259</v>
      </c>
      <c r="B263" s="1" t="s">
        <v>2904</v>
      </c>
      <c r="C263" s="6" t="s">
        <v>2152</v>
      </c>
      <c r="D263" s="7" t="s">
        <v>2905</v>
      </c>
      <c r="E263" s="2" t="s">
        <v>2901</v>
      </c>
      <c r="F263" s="99" t="s">
        <v>14</v>
      </c>
      <c r="G263" s="121">
        <v>150</v>
      </c>
      <c r="H263" s="122">
        <f t="shared" si="9"/>
        <v>350</v>
      </c>
      <c r="I263" s="450">
        <f>+(145+185)/4</f>
        <v>82.5</v>
      </c>
      <c r="J263" s="491">
        <f t="shared" si="8"/>
        <v>432.5</v>
      </c>
      <c r="K263" s="323"/>
      <c r="L263" s="324"/>
    </row>
    <row r="264" spans="1:12" ht="20.25" customHeight="1" thickBot="1" x14ac:dyDescent="0.25">
      <c r="A264" s="158">
        <v>260</v>
      </c>
      <c r="B264" s="159" t="s">
        <v>2906</v>
      </c>
      <c r="C264" s="160" t="s">
        <v>2907</v>
      </c>
      <c r="D264" s="161" t="s">
        <v>2908</v>
      </c>
      <c r="E264" s="162" t="s">
        <v>2901</v>
      </c>
      <c r="F264" s="163" t="s">
        <v>17</v>
      </c>
      <c r="G264" s="164">
        <v>150</v>
      </c>
      <c r="H264" s="153">
        <f t="shared" si="9"/>
        <v>350</v>
      </c>
      <c r="I264" s="451">
        <f>+(145+185)/4</f>
        <v>82.5</v>
      </c>
      <c r="J264" s="492">
        <f t="shared" si="8"/>
        <v>432.5</v>
      </c>
      <c r="K264" s="325"/>
      <c r="L264" s="326"/>
    </row>
    <row r="265" spans="1:12" ht="20.25" customHeight="1" x14ac:dyDescent="0.2">
      <c r="A265" s="108">
        <v>261</v>
      </c>
      <c r="B265" s="171" t="s">
        <v>2909</v>
      </c>
      <c r="C265" s="110" t="s">
        <v>2910</v>
      </c>
      <c r="D265" s="111" t="s">
        <v>2911</v>
      </c>
      <c r="E265" s="112" t="s">
        <v>2912</v>
      </c>
      <c r="F265" s="113" t="s">
        <v>8</v>
      </c>
      <c r="G265" s="119">
        <v>100</v>
      </c>
      <c r="H265" s="120">
        <f t="shared" si="9"/>
        <v>400</v>
      </c>
      <c r="I265" s="452">
        <f>+(615+795)/4</f>
        <v>352.5</v>
      </c>
      <c r="J265" s="490">
        <f t="shared" si="8"/>
        <v>752.5</v>
      </c>
      <c r="K265" s="327"/>
      <c r="L265" s="328"/>
    </row>
    <row r="266" spans="1:12" ht="20.25" customHeight="1" x14ac:dyDescent="0.2">
      <c r="A266" s="114">
        <v>262</v>
      </c>
      <c r="B266" s="1" t="s">
        <v>2913</v>
      </c>
      <c r="C266" s="6" t="s">
        <v>2914</v>
      </c>
      <c r="D266" s="7" t="s">
        <v>2915</v>
      </c>
      <c r="E266" s="2" t="s">
        <v>2912</v>
      </c>
      <c r="F266" s="99" t="s">
        <v>11</v>
      </c>
      <c r="G266" s="121">
        <v>100</v>
      </c>
      <c r="H266" s="122">
        <f t="shared" si="9"/>
        <v>400</v>
      </c>
      <c r="I266" s="450">
        <f>+(615+795)/4</f>
        <v>352.5</v>
      </c>
      <c r="J266" s="491">
        <f t="shared" si="8"/>
        <v>752.5</v>
      </c>
      <c r="K266" s="323"/>
      <c r="L266" s="324"/>
    </row>
    <row r="267" spans="1:12" ht="20.25" customHeight="1" x14ac:dyDescent="0.2">
      <c r="A267" s="114">
        <v>263</v>
      </c>
      <c r="B267" s="1" t="s">
        <v>2916</v>
      </c>
      <c r="C267" s="6" t="s">
        <v>2917</v>
      </c>
      <c r="D267" s="7" t="s">
        <v>2918</v>
      </c>
      <c r="E267" s="2" t="s">
        <v>2912</v>
      </c>
      <c r="F267" s="99" t="s">
        <v>14</v>
      </c>
      <c r="G267" s="121">
        <v>150</v>
      </c>
      <c r="H267" s="122">
        <f t="shared" si="9"/>
        <v>350</v>
      </c>
      <c r="I267" s="450">
        <f>+(615+795)/4</f>
        <v>352.5</v>
      </c>
      <c r="J267" s="491">
        <f t="shared" si="8"/>
        <v>702.5</v>
      </c>
      <c r="K267" s="323"/>
      <c r="L267" s="324"/>
    </row>
    <row r="268" spans="1:12" ht="20.25" customHeight="1" thickBot="1" x14ac:dyDescent="0.25">
      <c r="A268" s="158">
        <v>264</v>
      </c>
      <c r="B268" s="159" t="s">
        <v>2919</v>
      </c>
      <c r="C268" s="160" t="s">
        <v>2673</v>
      </c>
      <c r="D268" s="161" t="s">
        <v>2920</v>
      </c>
      <c r="E268" s="162" t="s">
        <v>2912</v>
      </c>
      <c r="F268" s="163" t="s">
        <v>17</v>
      </c>
      <c r="G268" s="164">
        <v>150</v>
      </c>
      <c r="H268" s="153">
        <f t="shared" si="9"/>
        <v>350</v>
      </c>
      <c r="I268" s="451">
        <f>+(615+795)/4</f>
        <v>352.5</v>
      </c>
      <c r="J268" s="492">
        <f t="shared" si="8"/>
        <v>702.5</v>
      </c>
      <c r="K268" s="325"/>
      <c r="L268" s="326"/>
    </row>
    <row r="269" spans="1:12" ht="20.25" customHeight="1" x14ac:dyDescent="0.2">
      <c r="A269" s="108">
        <v>265</v>
      </c>
      <c r="B269" s="171" t="s">
        <v>2921</v>
      </c>
      <c r="C269" s="110" t="s">
        <v>2922</v>
      </c>
      <c r="D269" s="111" t="s">
        <v>2923</v>
      </c>
      <c r="E269" s="112" t="s">
        <v>2924</v>
      </c>
      <c r="F269" s="113" t="s">
        <v>8</v>
      </c>
      <c r="G269" s="119">
        <v>200</v>
      </c>
      <c r="H269" s="120">
        <f t="shared" si="9"/>
        <v>300</v>
      </c>
      <c r="I269" s="452">
        <f>+(1465+1150)/4</f>
        <v>653.75</v>
      </c>
      <c r="J269" s="490">
        <f t="shared" si="8"/>
        <v>953.75</v>
      </c>
      <c r="K269" s="327"/>
      <c r="L269" s="328"/>
    </row>
    <row r="270" spans="1:12" ht="20.25" customHeight="1" x14ac:dyDescent="0.2">
      <c r="A270" s="114">
        <v>266</v>
      </c>
      <c r="B270" s="1" t="s">
        <v>2925</v>
      </c>
      <c r="C270" s="6" t="s">
        <v>2926</v>
      </c>
      <c r="D270" s="7" t="s">
        <v>2927</v>
      </c>
      <c r="E270" s="2" t="s">
        <v>2924</v>
      </c>
      <c r="F270" s="99" t="s">
        <v>11</v>
      </c>
      <c r="G270" s="121">
        <v>150</v>
      </c>
      <c r="H270" s="122">
        <f t="shared" si="9"/>
        <v>350</v>
      </c>
      <c r="I270" s="450">
        <f>+(1465+1150)/4</f>
        <v>653.75</v>
      </c>
      <c r="J270" s="491">
        <f t="shared" si="8"/>
        <v>1003.75</v>
      </c>
      <c r="K270" s="323"/>
      <c r="L270" s="324"/>
    </row>
    <row r="271" spans="1:12" ht="20.25" customHeight="1" x14ac:dyDescent="0.2">
      <c r="A271" s="114">
        <v>267</v>
      </c>
      <c r="B271" s="1" t="s">
        <v>2928</v>
      </c>
      <c r="C271" s="6" t="s">
        <v>2929</v>
      </c>
      <c r="D271" s="7" t="s">
        <v>2133</v>
      </c>
      <c r="E271" s="2" t="s">
        <v>2924</v>
      </c>
      <c r="F271" s="99" t="s">
        <v>14</v>
      </c>
      <c r="G271" s="121">
        <v>150</v>
      </c>
      <c r="H271" s="122">
        <f t="shared" si="9"/>
        <v>350</v>
      </c>
      <c r="I271" s="450">
        <f>+(1465+1150)/4</f>
        <v>653.75</v>
      </c>
      <c r="J271" s="491">
        <f t="shared" si="8"/>
        <v>1003.75</v>
      </c>
      <c r="K271" s="323"/>
      <c r="L271" s="324"/>
    </row>
    <row r="272" spans="1:12" ht="20.25" customHeight="1" thickBot="1" x14ac:dyDescent="0.25">
      <c r="A272" s="158">
        <v>268</v>
      </c>
      <c r="B272" s="159" t="s">
        <v>2930</v>
      </c>
      <c r="C272" s="160" t="s">
        <v>2931</v>
      </c>
      <c r="D272" s="161" t="s">
        <v>2932</v>
      </c>
      <c r="E272" s="162" t="s">
        <v>2924</v>
      </c>
      <c r="F272" s="163" t="s">
        <v>17</v>
      </c>
      <c r="G272" s="164">
        <v>200</v>
      </c>
      <c r="H272" s="153">
        <f t="shared" si="9"/>
        <v>300</v>
      </c>
      <c r="I272" s="451">
        <f>+(1465+1150)/4</f>
        <v>653.75</v>
      </c>
      <c r="J272" s="492">
        <f t="shared" si="8"/>
        <v>953.75</v>
      </c>
      <c r="K272" s="325"/>
      <c r="L272" s="326"/>
    </row>
    <row r="273" spans="1:13" ht="20.25" customHeight="1" x14ac:dyDescent="0.2">
      <c r="A273" s="108">
        <v>269</v>
      </c>
      <c r="B273" s="223"/>
      <c r="C273" s="190" t="s">
        <v>4876</v>
      </c>
      <c r="D273" s="224"/>
      <c r="E273" s="189" t="s">
        <v>2935</v>
      </c>
      <c r="F273" s="190" t="s">
        <v>8</v>
      </c>
      <c r="G273" s="225">
        <v>0</v>
      </c>
      <c r="H273" s="191">
        <v>0</v>
      </c>
      <c r="I273" s="287"/>
      <c r="J273" s="490">
        <f t="shared" ref="J273:J336" si="10">SUM(H273:I273)</f>
        <v>0</v>
      </c>
      <c r="K273" s="330" t="s">
        <v>4876</v>
      </c>
      <c r="L273" s="328"/>
    </row>
    <row r="274" spans="1:13" ht="20.25" customHeight="1" x14ac:dyDescent="0.2">
      <c r="A274" s="114">
        <v>270</v>
      </c>
      <c r="B274" s="47" t="s">
        <v>2933</v>
      </c>
      <c r="C274" s="10" t="s">
        <v>2891</v>
      </c>
      <c r="D274" s="11" t="s">
        <v>2934</v>
      </c>
      <c r="E274" s="5" t="s">
        <v>2935</v>
      </c>
      <c r="F274" s="100" t="s">
        <v>11</v>
      </c>
      <c r="G274" s="125">
        <v>150</v>
      </c>
      <c r="H274" s="122">
        <f t="shared" si="9"/>
        <v>350</v>
      </c>
      <c r="I274" s="450">
        <f>+(820+275)/3</f>
        <v>365</v>
      </c>
      <c r="J274" s="491">
        <f t="shared" si="10"/>
        <v>715</v>
      </c>
      <c r="K274" s="323"/>
      <c r="L274" s="324"/>
    </row>
    <row r="275" spans="1:13" ht="20.25" customHeight="1" x14ac:dyDescent="0.2">
      <c r="A275" s="114">
        <v>271</v>
      </c>
      <c r="B275" s="47" t="s">
        <v>2936</v>
      </c>
      <c r="C275" s="10" t="s">
        <v>2937</v>
      </c>
      <c r="D275" s="11" t="s">
        <v>2938</v>
      </c>
      <c r="E275" s="5" t="s">
        <v>2935</v>
      </c>
      <c r="F275" s="100" t="s">
        <v>14</v>
      </c>
      <c r="G275" s="125">
        <v>150</v>
      </c>
      <c r="H275" s="122">
        <f t="shared" si="9"/>
        <v>350</v>
      </c>
      <c r="I275" s="450">
        <f>+(820+275)/3</f>
        <v>365</v>
      </c>
      <c r="J275" s="491">
        <f t="shared" si="10"/>
        <v>715</v>
      </c>
      <c r="K275" s="323"/>
      <c r="L275" s="324"/>
    </row>
    <row r="276" spans="1:13" ht="20.25" customHeight="1" thickBot="1" x14ac:dyDescent="0.25">
      <c r="A276" s="158">
        <v>272</v>
      </c>
      <c r="B276" s="192" t="s">
        <v>2939</v>
      </c>
      <c r="C276" s="193" t="s">
        <v>2940</v>
      </c>
      <c r="D276" s="194" t="s">
        <v>2941</v>
      </c>
      <c r="E276" s="195" t="s">
        <v>2935</v>
      </c>
      <c r="F276" s="196" t="s">
        <v>17</v>
      </c>
      <c r="G276" s="197">
        <v>150</v>
      </c>
      <c r="H276" s="153">
        <f t="shared" si="9"/>
        <v>350</v>
      </c>
      <c r="I276" s="451">
        <f>+(820+275)/3</f>
        <v>365</v>
      </c>
      <c r="J276" s="492">
        <f t="shared" si="10"/>
        <v>715</v>
      </c>
      <c r="K276" s="325"/>
      <c r="L276" s="326"/>
    </row>
    <row r="277" spans="1:13" ht="20.25" customHeight="1" thickBot="1" x14ac:dyDescent="0.25">
      <c r="A277" s="108">
        <v>273</v>
      </c>
      <c r="B277" s="171" t="s">
        <v>2942</v>
      </c>
      <c r="C277" s="110" t="s">
        <v>2943</v>
      </c>
      <c r="D277" s="111" t="s">
        <v>2944</v>
      </c>
      <c r="E277" s="112" t="s">
        <v>2945</v>
      </c>
      <c r="F277" s="113" t="s">
        <v>8</v>
      </c>
      <c r="G277" s="119">
        <v>100</v>
      </c>
      <c r="H277" s="120">
        <f t="shared" si="9"/>
        <v>400</v>
      </c>
      <c r="I277" s="452">
        <f>+(765+205)/4</f>
        <v>242.5</v>
      </c>
      <c r="J277" s="490">
        <f t="shared" si="10"/>
        <v>642.5</v>
      </c>
      <c r="K277" s="327"/>
      <c r="L277" s="328"/>
    </row>
    <row r="278" spans="1:13" ht="20.25" customHeight="1" thickBot="1" x14ac:dyDescent="0.25">
      <c r="A278" s="114">
        <v>274</v>
      </c>
      <c r="B278" s="1" t="s">
        <v>2946</v>
      </c>
      <c r="C278" s="6" t="s">
        <v>2947</v>
      </c>
      <c r="D278" s="7" t="s">
        <v>2948</v>
      </c>
      <c r="E278" s="2" t="s">
        <v>2945</v>
      </c>
      <c r="F278" s="99" t="s">
        <v>11</v>
      </c>
      <c r="G278" s="121">
        <v>150</v>
      </c>
      <c r="H278" s="122">
        <f t="shared" si="9"/>
        <v>350</v>
      </c>
      <c r="I278" s="450">
        <f>+(765+205)/4</f>
        <v>242.5</v>
      </c>
      <c r="J278" s="491">
        <f t="shared" si="10"/>
        <v>592.5</v>
      </c>
      <c r="K278" s="323"/>
      <c r="L278" s="324"/>
      <c r="M278" s="549"/>
    </row>
    <row r="279" spans="1:13" ht="20.25" customHeight="1" thickBot="1" x14ac:dyDescent="0.25">
      <c r="A279" s="114">
        <v>275</v>
      </c>
      <c r="B279" s="1" t="s">
        <v>2949</v>
      </c>
      <c r="C279" s="6" t="s">
        <v>2950</v>
      </c>
      <c r="D279" s="7" t="s">
        <v>2951</v>
      </c>
      <c r="E279" s="2" t="s">
        <v>2945</v>
      </c>
      <c r="F279" s="99" t="s">
        <v>14</v>
      </c>
      <c r="G279" s="121">
        <v>150</v>
      </c>
      <c r="H279" s="122">
        <f t="shared" si="9"/>
        <v>350</v>
      </c>
      <c r="I279" s="450">
        <f>+(765+205)/4</f>
        <v>242.5</v>
      </c>
      <c r="J279" s="491">
        <f t="shared" si="10"/>
        <v>592.5</v>
      </c>
      <c r="K279" s="323"/>
      <c r="L279" s="324"/>
      <c r="M279" s="549"/>
    </row>
    <row r="280" spans="1:13" ht="20.25" customHeight="1" thickBot="1" x14ac:dyDescent="0.25">
      <c r="A280" s="158">
        <v>276</v>
      </c>
      <c r="B280" s="159" t="s">
        <v>2952</v>
      </c>
      <c r="C280" s="160" t="s">
        <v>2953</v>
      </c>
      <c r="D280" s="161" t="s">
        <v>2954</v>
      </c>
      <c r="E280" s="162" t="s">
        <v>2945</v>
      </c>
      <c r="F280" s="163" t="s">
        <v>17</v>
      </c>
      <c r="G280" s="164">
        <v>150</v>
      </c>
      <c r="H280" s="153">
        <f t="shared" si="9"/>
        <v>350</v>
      </c>
      <c r="I280" s="451">
        <f>+(765+205)/4</f>
        <v>242.5</v>
      </c>
      <c r="J280" s="492">
        <f t="shared" si="10"/>
        <v>592.5</v>
      </c>
      <c r="K280" s="325"/>
      <c r="L280" s="326"/>
    </row>
    <row r="281" spans="1:13" ht="20.25" customHeight="1" x14ac:dyDescent="0.2">
      <c r="A281" s="108">
        <v>277</v>
      </c>
      <c r="B281" s="171" t="s">
        <v>2955</v>
      </c>
      <c r="C281" s="110" t="s">
        <v>2956</v>
      </c>
      <c r="D281" s="111" t="s">
        <v>2957</v>
      </c>
      <c r="E281" s="112" t="s">
        <v>2958</v>
      </c>
      <c r="F281" s="113" t="s">
        <v>8</v>
      </c>
      <c r="G281" s="119">
        <v>50</v>
      </c>
      <c r="H281" s="120">
        <f t="shared" si="9"/>
        <v>450</v>
      </c>
      <c r="I281" s="452">
        <f>+(0+395)/4</f>
        <v>98.75</v>
      </c>
      <c r="J281" s="490">
        <f t="shared" si="10"/>
        <v>548.75</v>
      </c>
      <c r="K281" s="327"/>
      <c r="L281" s="328"/>
    </row>
    <row r="282" spans="1:13" ht="20.25" customHeight="1" x14ac:dyDescent="0.2">
      <c r="A282" s="114">
        <v>278</v>
      </c>
      <c r="B282" s="1" t="s">
        <v>2959</v>
      </c>
      <c r="C282" s="6" t="s">
        <v>2960</v>
      </c>
      <c r="D282" s="7" t="s">
        <v>2961</v>
      </c>
      <c r="E282" s="2" t="s">
        <v>2958</v>
      </c>
      <c r="F282" s="99" t="s">
        <v>11</v>
      </c>
      <c r="G282" s="121">
        <v>100</v>
      </c>
      <c r="H282" s="122">
        <f t="shared" si="9"/>
        <v>400</v>
      </c>
      <c r="I282" s="450">
        <f>+(0+395)/4</f>
        <v>98.75</v>
      </c>
      <c r="J282" s="491">
        <f t="shared" si="10"/>
        <v>498.75</v>
      </c>
      <c r="K282" s="323"/>
      <c r="L282" s="324"/>
    </row>
    <row r="283" spans="1:13" ht="20.25" customHeight="1" x14ac:dyDescent="0.2">
      <c r="A283" s="114">
        <v>279</v>
      </c>
      <c r="B283" s="1" t="s">
        <v>2962</v>
      </c>
      <c r="C283" s="6" t="s">
        <v>2963</v>
      </c>
      <c r="D283" s="7" t="s">
        <v>2964</v>
      </c>
      <c r="E283" s="2" t="s">
        <v>2958</v>
      </c>
      <c r="F283" s="99" t="s">
        <v>14</v>
      </c>
      <c r="G283" s="121">
        <v>50</v>
      </c>
      <c r="H283" s="122">
        <f t="shared" si="9"/>
        <v>450</v>
      </c>
      <c r="I283" s="450">
        <f>+(0+395)/4</f>
        <v>98.75</v>
      </c>
      <c r="J283" s="491">
        <f t="shared" si="10"/>
        <v>548.75</v>
      </c>
      <c r="K283" s="323"/>
      <c r="L283" s="324"/>
    </row>
    <row r="284" spans="1:13" ht="20.25" customHeight="1" thickBot="1" x14ac:dyDescent="0.25">
      <c r="A284" s="158">
        <v>280</v>
      </c>
      <c r="B284" s="159" t="s">
        <v>2965</v>
      </c>
      <c r="C284" s="160" t="s">
        <v>2966</v>
      </c>
      <c r="D284" s="161" t="s">
        <v>2967</v>
      </c>
      <c r="E284" s="162" t="s">
        <v>2958</v>
      </c>
      <c r="F284" s="163" t="s">
        <v>17</v>
      </c>
      <c r="G284" s="164">
        <v>50</v>
      </c>
      <c r="H284" s="153">
        <f t="shared" si="9"/>
        <v>450</v>
      </c>
      <c r="I284" s="451">
        <f>+(0+395)/4</f>
        <v>98.75</v>
      </c>
      <c r="J284" s="492">
        <f t="shared" si="10"/>
        <v>548.75</v>
      </c>
      <c r="K284" s="325"/>
      <c r="L284" s="326"/>
    </row>
    <row r="285" spans="1:13" ht="20.25" customHeight="1" x14ac:dyDescent="0.2">
      <c r="A285" s="108">
        <v>281</v>
      </c>
      <c r="B285" s="171" t="s">
        <v>2968</v>
      </c>
      <c r="C285" s="110" t="s">
        <v>2201</v>
      </c>
      <c r="D285" s="111" t="s">
        <v>2969</v>
      </c>
      <c r="E285" s="112" t="s">
        <v>2970</v>
      </c>
      <c r="F285" s="113" t="s">
        <v>8</v>
      </c>
      <c r="G285" s="119">
        <v>100</v>
      </c>
      <c r="H285" s="120">
        <f t="shared" si="9"/>
        <v>400</v>
      </c>
      <c r="I285" s="452">
        <f>+(505+820)/4</f>
        <v>331.25</v>
      </c>
      <c r="J285" s="490">
        <f t="shared" si="10"/>
        <v>731.25</v>
      </c>
      <c r="K285" s="327"/>
      <c r="L285" s="328"/>
    </row>
    <row r="286" spans="1:13" ht="20.25" customHeight="1" x14ac:dyDescent="0.2">
      <c r="A286" s="114">
        <v>282</v>
      </c>
      <c r="B286" s="1" t="s">
        <v>2971</v>
      </c>
      <c r="C286" s="6" t="s">
        <v>2972</v>
      </c>
      <c r="D286" s="7" t="s">
        <v>2973</v>
      </c>
      <c r="E286" s="2" t="s">
        <v>2970</v>
      </c>
      <c r="F286" s="99" t="s">
        <v>11</v>
      </c>
      <c r="G286" s="121">
        <v>100</v>
      </c>
      <c r="H286" s="122">
        <f t="shared" si="9"/>
        <v>400</v>
      </c>
      <c r="I286" s="450">
        <f>+(505+820)/4</f>
        <v>331.25</v>
      </c>
      <c r="J286" s="491">
        <f t="shared" si="10"/>
        <v>731.25</v>
      </c>
      <c r="K286" s="323"/>
      <c r="L286" s="324"/>
    </row>
    <row r="287" spans="1:13" ht="20.25" customHeight="1" x14ac:dyDescent="0.2">
      <c r="A287" s="114">
        <v>283</v>
      </c>
      <c r="B287" s="1" t="s">
        <v>2974</v>
      </c>
      <c r="C287" s="6" t="s">
        <v>2975</v>
      </c>
      <c r="D287" s="7" t="s">
        <v>2976</v>
      </c>
      <c r="E287" s="2" t="s">
        <v>2970</v>
      </c>
      <c r="F287" s="99" t="s">
        <v>14</v>
      </c>
      <c r="G287" s="121">
        <v>100</v>
      </c>
      <c r="H287" s="122">
        <f t="shared" si="9"/>
        <v>400</v>
      </c>
      <c r="I287" s="450">
        <f>+(505+820)/4</f>
        <v>331.25</v>
      </c>
      <c r="J287" s="491">
        <f t="shared" si="10"/>
        <v>731.25</v>
      </c>
      <c r="K287" s="323"/>
      <c r="L287" s="324"/>
    </row>
    <row r="288" spans="1:13" ht="20.25" customHeight="1" thickBot="1" x14ac:dyDescent="0.25">
      <c r="A288" s="158">
        <v>284</v>
      </c>
      <c r="B288" s="159" t="s">
        <v>2977</v>
      </c>
      <c r="C288" s="160" t="s">
        <v>2978</v>
      </c>
      <c r="D288" s="161" t="s">
        <v>2979</v>
      </c>
      <c r="E288" s="162" t="s">
        <v>2970</v>
      </c>
      <c r="F288" s="163" t="s">
        <v>17</v>
      </c>
      <c r="G288" s="164">
        <v>100</v>
      </c>
      <c r="H288" s="153">
        <f t="shared" si="9"/>
        <v>400</v>
      </c>
      <c r="I288" s="451">
        <f>+(505+820)/4</f>
        <v>331.25</v>
      </c>
      <c r="J288" s="492">
        <f t="shared" si="10"/>
        <v>731.25</v>
      </c>
      <c r="K288" s="325"/>
      <c r="L288" s="326"/>
    </row>
    <row r="289" spans="1:12" ht="20.25" customHeight="1" x14ac:dyDescent="0.2">
      <c r="A289" s="108">
        <v>285</v>
      </c>
      <c r="B289" s="171" t="s">
        <v>2980</v>
      </c>
      <c r="C289" s="110" t="s">
        <v>2981</v>
      </c>
      <c r="D289" s="111" t="s">
        <v>2982</v>
      </c>
      <c r="E289" s="112" t="s">
        <v>2983</v>
      </c>
      <c r="F289" s="113" t="s">
        <v>8</v>
      </c>
      <c r="G289" s="119">
        <v>50</v>
      </c>
      <c r="H289" s="120">
        <f t="shared" si="9"/>
        <v>450</v>
      </c>
      <c r="I289" s="452">
        <f>+(255+280)/4</f>
        <v>133.75</v>
      </c>
      <c r="J289" s="490">
        <f t="shared" si="10"/>
        <v>583.75</v>
      </c>
      <c r="K289" s="327"/>
      <c r="L289" s="328"/>
    </row>
    <row r="290" spans="1:12" ht="20.25" customHeight="1" x14ac:dyDescent="0.2">
      <c r="A290" s="114">
        <v>286</v>
      </c>
      <c r="B290" s="1" t="s">
        <v>2984</v>
      </c>
      <c r="C290" s="6" t="s">
        <v>2985</v>
      </c>
      <c r="D290" s="7" t="s">
        <v>2986</v>
      </c>
      <c r="E290" s="2" t="s">
        <v>2983</v>
      </c>
      <c r="F290" s="99" t="s">
        <v>11</v>
      </c>
      <c r="G290" s="121">
        <v>50</v>
      </c>
      <c r="H290" s="122">
        <f t="shared" si="9"/>
        <v>450</v>
      </c>
      <c r="I290" s="450">
        <f>+(255+280)/4</f>
        <v>133.75</v>
      </c>
      <c r="J290" s="491">
        <f t="shared" si="10"/>
        <v>583.75</v>
      </c>
      <c r="K290" s="323"/>
      <c r="L290" s="324"/>
    </row>
    <row r="291" spans="1:12" ht="20.25" customHeight="1" x14ac:dyDescent="0.2">
      <c r="A291" s="114">
        <v>287</v>
      </c>
      <c r="B291" s="1" t="s">
        <v>2987</v>
      </c>
      <c r="C291" s="6" t="s">
        <v>2988</v>
      </c>
      <c r="D291" s="7" t="s">
        <v>2989</v>
      </c>
      <c r="E291" s="2" t="s">
        <v>2983</v>
      </c>
      <c r="F291" s="99" t="s">
        <v>14</v>
      </c>
      <c r="G291" s="121">
        <v>50</v>
      </c>
      <c r="H291" s="122">
        <f t="shared" si="9"/>
        <v>450</v>
      </c>
      <c r="I291" s="450">
        <f>+(255+280)/4</f>
        <v>133.75</v>
      </c>
      <c r="J291" s="491">
        <f t="shared" si="10"/>
        <v>583.75</v>
      </c>
      <c r="K291" s="323"/>
      <c r="L291" s="324"/>
    </row>
    <row r="292" spans="1:12" ht="20.25" customHeight="1" thickBot="1" x14ac:dyDescent="0.25">
      <c r="A292" s="158">
        <v>288</v>
      </c>
      <c r="B292" s="159" t="s">
        <v>2990</v>
      </c>
      <c r="C292" s="160" t="s">
        <v>2991</v>
      </c>
      <c r="D292" s="161" t="s">
        <v>2992</v>
      </c>
      <c r="E292" s="162" t="s">
        <v>2983</v>
      </c>
      <c r="F292" s="163" t="s">
        <v>17</v>
      </c>
      <c r="G292" s="164">
        <v>50</v>
      </c>
      <c r="H292" s="153">
        <f t="shared" si="9"/>
        <v>450</v>
      </c>
      <c r="I292" s="451">
        <f>+(255+280)/4</f>
        <v>133.75</v>
      </c>
      <c r="J292" s="492">
        <f t="shared" si="10"/>
        <v>583.75</v>
      </c>
      <c r="K292" s="325"/>
      <c r="L292" s="326"/>
    </row>
    <row r="293" spans="1:12" ht="20.25" customHeight="1" x14ac:dyDescent="0.2">
      <c r="A293" s="108">
        <v>289</v>
      </c>
      <c r="B293" s="171" t="s">
        <v>2993</v>
      </c>
      <c r="C293" s="110" t="s">
        <v>2994</v>
      </c>
      <c r="D293" s="111" t="s">
        <v>2995</v>
      </c>
      <c r="E293" s="112" t="s">
        <v>2996</v>
      </c>
      <c r="F293" s="113" t="s">
        <v>8</v>
      </c>
      <c r="G293" s="119">
        <v>100</v>
      </c>
      <c r="H293" s="120">
        <f t="shared" si="9"/>
        <v>400</v>
      </c>
      <c r="I293" s="452">
        <f>+(905+1110)/4</f>
        <v>503.75</v>
      </c>
      <c r="J293" s="490">
        <f t="shared" si="10"/>
        <v>903.75</v>
      </c>
      <c r="K293" s="327"/>
      <c r="L293" s="328"/>
    </row>
    <row r="294" spans="1:12" ht="20.25" customHeight="1" x14ac:dyDescent="0.2">
      <c r="A294" s="114">
        <v>290</v>
      </c>
      <c r="B294" s="1" t="s">
        <v>2997</v>
      </c>
      <c r="C294" s="6" t="s">
        <v>2998</v>
      </c>
      <c r="D294" s="7" t="s">
        <v>2999</v>
      </c>
      <c r="E294" s="2" t="s">
        <v>2996</v>
      </c>
      <c r="F294" s="99" t="s">
        <v>11</v>
      </c>
      <c r="G294" s="121">
        <v>100</v>
      </c>
      <c r="H294" s="122">
        <f t="shared" si="9"/>
        <v>400</v>
      </c>
      <c r="I294" s="450">
        <f>+(905+1110)/4</f>
        <v>503.75</v>
      </c>
      <c r="J294" s="491">
        <f t="shared" si="10"/>
        <v>903.75</v>
      </c>
      <c r="K294" s="323"/>
      <c r="L294" s="324"/>
    </row>
    <row r="295" spans="1:12" ht="20.25" customHeight="1" x14ac:dyDescent="0.2">
      <c r="A295" s="114">
        <v>291</v>
      </c>
      <c r="B295" s="1" t="s">
        <v>3000</v>
      </c>
      <c r="C295" s="6" t="s">
        <v>3001</v>
      </c>
      <c r="D295" s="7" t="s">
        <v>3002</v>
      </c>
      <c r="E295" s="2" t="s">
        <v>2996</v>
      </c>
      <c r="F295" s="99" t="s">
        <v>14</v>
      </c>
      <c r="G295" s="121">
        <v>100</v>
      </c>
      <c r="H295" s="122">
        <f t="shared" si="9"/>
        <v>400</v>
      </c>
      <c r="I295" s="450">
        <f>+(905+1110)/4</f>
        <v>503.75</v>
      </c>
      <c r="J295" s="491">
        <f t="shared" si="10"/>
        <v>903.75</v>
      </c>
      <c r="K295" s="323"/>
      <c r="L295" s="324"/>
    </row>
    <row r="296" spans="1:12" ht="20.25" customHeight="1" thickBot="1" x14ac:dyDescent="0.25">
      <c r="A296" s="158">
        <v>292</v>
      </c>
      <c r="B296" s="159" t="s">
        <v>3003</v>
      </c>
      <c r="C296" s="160" t="s">
        <v>3004</v>
      </c>
      <c r="D296" s="161" t="s">
        <v>3005</v>
      </c>
      <c r="E296" s="162" t="s">
        <v>2996</v>
      </c>
      <c r="F296" s="163" t="s">
        <v>17</v>
      </c>
      <c r="G296" s="164">
        <v>150</v>
      </c>
      <c r="H296" s="153">
        <f t="shared" si="9"/>
        <v>350</v>
      </c>
      <c r="I296" s="451">
        <f>+(905+1110)/4</f>
        <v>503.75</v>
      </c>
      <c r="J296" s="492">
        <f t="shared" si="10"/>
        <v>853.75</v>
      </c>
      <c r="K296" s="325"/>
      <c r="L296" s="326"/>
    </row>
    <row r="297" spans="1:12" ht="20.25" customHeight="1" x14ac:dyDescent="0.2">
      <c r="A297" s="108">
        <v>293</v>
      </c>
      <c r="B297" s="171" t="s">
        <v>3006</v>
      </c>
      <c r="C297" s="110" t="s">
        <v>2339</v>
      </c>
      <c r="D297" s="111" t="s">
        <v>3007</v>
      </c>
      <c r="E297" s="112" t="s">
        <v>3008</v>
      </c>
      <c r="F297" s="113" t="s">
        <v>8</v>
      </c>
      <c r="G297" s="119">
        <v>150</v>
      </c>
      <c r="H297" s="120">
        <f t="shared" si="9"/>
        <v>350</v>
      </c>
      <c r="I297" s="452">
        <f>+(1995+705)/4</f>
        <v>675</v>
      </c>
      <c r="J297" s="490">
        <f t="shared" si="10"/>
        <v>1025</v>
      </c>
      <c r="K297" s="327"/>
      <c r="L297" s="328"/>
    </row>
    <row r="298" spans="1:12" ht="20.25" customHeight="1" x14ac:dyDescent="0.2">
      <c r="A298" s="114">
        <v>294</v>
      </c>
      <c r="B298" s="1" t="s">
        <v>3009</v>
      </c>
      <c r="C298" s="6" t="s">
        <v>3010</v>
      </c>
      <c r="D298" s="7" t="s">
        <v>3011</v>
      </c>
      <c r="E298" s="2" t="s">
        <v>3008</v>
      </c>
      <c r="F298" s="99" t="s">
        <v>11</v>
      </c>
      <c r="G298" s="121">
        <v>400</v>
      </c>
      <c r="H298" s="122">
        <f t="shared" si="9"/>
        <v>100</v>
      </c>
      <c r="I298" s="450">
        <f>+(1995+705)/4</f>
        <v>675</v>
      </c>
      <c r="J298" s="491">
        <f t="shared" si="10"/>
        <v>775</v>
      </c>
      <c r="K298" s="323"/>
      <c r="L298" s="324"/>
    </row>
    <row r="299" spans="1:12" ht="20.25" customHeight="1" x14ac:dyDescent="0.2">
      <c r="A299" s="114">
        <v>295</v>
      </c>
      <c r="B299" s="1" t="s">
        <v>3012</v>
      </c>
      <c r="C299" s="6" t="s">
        <v>3013</v>
      </c>
      <c r="D299" s="7" t="s">
        <v>3014</v>
      </c>
      <c r="E299" s="2" t="s">
        <v>3008</v>
      </c>
      <c r="F299" s="99" t="s">
        <v>14</v>
      </c>
      <c r="G299" s="121">
        <v>150</v>
      </c>
      <c r="H299" s="122">
        <f t="shared" si="9"/>
        <v>350</v>
      </c>
      <c r="I299" s="450">
        <f>+(1995+705)/4</f>
        <v>675</v>
      </c>
      <c r="J299" s="491">
        <f t="shared" si="10"/>
        <v>1025</v>
      </c>
      <c r="K299" s="323"/>
      <c r="L299" s="324"/>
    </row>
    <row r="300" spans="1:12" ht="20.25" customHeight="1" thickBot="1" x14ac:dyDescent="0.25">
      <c r="A300" s="158">
        <v>296</v>
      </c>
      <c r="B300" s="159" t="s">
        <v>3015</v>
      </c>
      <c r="C300" s="160" t="s">
        <v>3016</v>
      </c>
      <c r="D300" s="161" t="s">
        <v>3017</v>
      </c>
      <c r="E300" s="162" t="s">
        <v>3008</v>
      </c>
      <c r="F300" s="163" t="s">
        <v>17</v>
      </c>
      <c r="G300" s="164">
        <v>150</v>
      </c>
      <c r="H300" s="153">
        <f t="shared" si="9"/>
        <v>350</v>
      </c>
      <c r="I300" s="451">
        <f>+(1995+705)/4</f>
        <v>675</v>
      </c>
      <c r="J300" s="492">
        <f t="shared" si="10"/>
        <v>1025</v>
      </c>
      <c r="K300" s="325"/>
      <c r="L300" s="326"/>
    </row>
    <row r="301" spans="1:12" ht="20.25" customHeight="1" x14ac:dyDescent="0.2">
      <c r="A301" s="108">
        <v>297</v>
      </c>
      <c r="B301" s="171" t="s">
        <v>3018</v>
      </c>
      <c r="C301" s="110" t="s">
        <v>3019</v>
      </c>
      <c r="D301" s="111" t="s">
        <v>3020</v>
      </c>
      <c r="E301" s="112" t="s">
        <v>3021</v>
      </c>
      <c r="F301" s="113" t="s">
        <v>8</v>
      </c>
      <c r="G301" s="119">
        <v>50</v>
      </c>
      <c r="H301" s="120">
        <f t="shared" si="9"/>
        <v>450</v>
      </c>
      <c r="I301" s="452">
        <f>+(505+45)/4</f>
        <v>137.5</v>
      </c>
      <c r="J301" s="490">
        <f t="shared" si="10"/>
        <v>587.5</v>
      </c>
      <c r="K301" s="327"/>
      <c r="L301" s="328"/>
    </row>
    <row r="302" spans="1:12" ht="20.25" customHeight="1" x14ac:dyDescent="0.2">
      <c r="A302" s="114">
        <v>298</v>
      </c>
      <c r="B302" s="1" t="s">
        <v>3022</v>
      </c>
      <c r="C302" s="6" t="s">
        <v>3023</v>
      </c>
      <c r="D302" s="7" t="s">
        <v>1625</v>
      </c>
      <c r="E302" s="2" t="s">
        <v>3021</v>
      </c>
      <c r="F302" s="99" t="s">
        <v>11</v>
      </c>
      <c r="G302" s="121">
        <v>50</v>
      </c>
      <c r="H302" s="122">
        <f t="shared" si="9"/>
        <v>450</v>
      </c>
      <c r="I302" s="450">
        <f>+(505+45)/4</f>
        <v>137.5</v>
      </c>
      <c r="J302" s="491">
        <f t="shared" si="10"/>
        <v>587.5</v>
      </c>
      <c r="K302" s="323"/>
      <c r="L302" s="324"/>
    </row>
    <row r="303" spans="1:12" ht="20.25" customHeight="1" x14ac:dyDescent="0.2">
      <c r="A303" s="114">
        <v>299</v>
      </c>
      <c r="B303" s="1" t="s">
        <v>3024</v>
      </c>
      <c r="C303" s="6" t="s">
        <v>3025</v>
      </c>
      <c r="D303" s="7" t="s">
        <v>3026</v>
      </c>
      <c r="E303" s="2" t="s">
        <v>3021</v>
      </c>
      <c r="F303" s="99" t="s">
        <v>14</v>
      </c>
      <c r="G303" s="121">
        <v>50</v>
      </c>
      <c r="H303" s="122">
        <f t="shared" si="9"/>
        <v>450</v>
      </c>
      <c r="I303" s="450">
        <f>+(505+45)/4</f>
        <v>137.5</v>
      </c>
      <c r="J303" s="491">
        <f t="shared" si="10"/>
        <v>587.5</v>
      </c>
      <c r="K303" s="323"/>
      <c r="L303" s="324"/>
    </row>
    <row r="304" spans="1:12" ht="20.25" customHeight="1" thickBot="1" x14ac:dyDescent="0.25">
      <c r="A304" s="158">
        <v>300</v>
      </c>
      <c r="B304" s="159" t="s">
        <v>3027</v>
      </c>
      <c r="C304" s="160" t="s">
        <v>2481</v>
      </c>
      <c r="D304" s="161" t="s">
        <v>3028</v>
      </c>
      <c r="E304" s="162" t="s">
        <v>3021</v>
      </c>
      <c r="F304" s="163" t="s">
        <v>17</v>
      </c>
      <c r="G304" s="164">
        <v>50</v>
      </c>
      <c r="H304" s="153">
        <f t="shared" si="9"/>
        <v>450</v>
      </c>
      <c r="I304" s="451">
        <f>+(505+45)/4</f>
        <v>137.5</v>
      </c>
      <c r="J304" s="492">
        <f t="shared" si="10"/>
        <v>587.5</v>
      </c>
      <c r="K304" s="325"/>
      <c r="L304" s="326"/>
    </row>
    <row r="305" spans="1:12" ht="20.25" customHeight="1" x14ac:dyDescent="0.2">
      <c r="A305" s="108">
        <v>301</v>
      </c>
      <c r="B305" s="171" t="s">
        <v>3029</v>
      </c>
      <c r="C305" s="110" t="s">
        <v>2487</v>
      </c>
      <c r="D305" s="111" t="s">
        <v>3030</v>
      </c>
      <c r="E305" s="112" t="s">
        <v>3031</v>
      </c>
      <c r="F305" s="113" t="s">
        <v>8</v>
      </c>
      <c r="G305" s="119">
        <v>100</v>
      </c>
      <c r="H305" s="120">
        <f t="shared" si="9"/>
        <v>400</v>
      </c>
      <c r="I305" s="452">
        <f>+(50+0)/4</f>
        <v>12.5</v>
      </c>
      <c r="J305" s="490">
        <f t="shared" si="10"/>
        <v>412.5</v>
      </c>
      <c r="K305" s="327"/>
      <c r="L305" s="328"/>
    </row>
    <row r="306" spans="1:12" ht="20.25" customHeight="1" x14ac:dyDescent="0.2">
      <c r="A306" s="114">
        <v>302</v>
      </c>
      <c r="B306" s="1" t="s">
        <v>3032</v>
      </c>
      <c r="C306" s="6" t="s">
        <v>2758</v>
      </c>
      <c r="D306" s="7" t="s">
        <v>3033</v>
      </c>
      <c r="E306" s="2" t="s">
        <v>3031</v>
      </c>
      <c r="F306" s="99" t="s">
        <v>11</v>
      </c>
      <c r="G306" s="121">
        <v>100</v>
      </c>
      <c r="H306" s="122">
        <f t="shared" si="9"/>
        <v>400</v>
      </c>
      <c r="I306" s="450">
        <f>+(50+0)/4</f>
        <v>12.5</v>
      </c>
      <c r="J306" s="491">
        <f t="shared" si="10"/>
        <v>412.5</v>
      </c>
      <c r="K306" s="323"/>
      <c r="L306" s="324"/>
    </row>
    <row r="307" spans="1:12" ht="20.25" customHeight="1" x14ac:dyDescent="0.2">
      <c r="A307" s="114">
        <v>303</v>
      </c>
      <c r="B307" s="1" t="s">
        <v>3034</v>
      </c>
      <c r="C307" s="6" t="s">
        <v>3035</v>
      </c>
      <c r="D307" s="7" t="s">
        <v>3036</v>
      </c>
      <c r="E307" s="2" t="s">
        <v>3031</v>
      </c>
      <c r="F307" s="99" t="s">
        <v>14</v>
      </c>
      <c r="G307" s="121">
        <v>100</v>
      </c>
      <c r="H307" s="122">
        <f t="shared" si="9"/>
        <v>400</v>
      </c>
      <c r="I307" s="450">
        <f>+(50+0)/4</f>
        <v>12.5</v>
      </c>
      <c r="J307" s="491">
        <f t="shared" si="10"/>
        <v>412.5</v>
      </c>
      <c r="K307" s="323"/>
      <c r="L307" s="324"/>
    </row>
    <row r="308" spans="1:12" ht="20.25" customHeight="1" thickBot="1" x14ac:dyDescent="0.25">
      <c r="A308" s="158">
        <v>304</v>
      </c>
      <c r="B308" s="159" t="s">
        <v>3037</v>
      </c>
      <c r="C308" s="160" t="s">
        <v>2328</v>
      </c>
      <c r="D308" s="161" t="s">
        <v>3038</v>
      </c>
      <c r="E308" s="162" t="s">
        <v>3031</v>
      </c>
      <c r="F308" s="163" t="s">
        <v>17</v>
      </c>
      <c r="G308" s="164">
        <v>100</v>
      </c>
      <c r="H308" s="153">
        <f t="shared" si="9"/>
        <v>400</v>
      </c>
      <c r="I308" s="451">
        <f>+(50+0)/4</f>
        <v>12.5</v>
      </c>
      <c r="J308" s="492">
        <f t="shared" si="10"/>
        <v>412.5</v>
      </c>
      <c r="K308" s="325"/>
      <c r="L308" s="326"/>
    </row>
    <row r="309" spans="1:12" ht="20.25" customHeight="1" x14ac:dyDescent="0.2">
      <c r="A309" s="108">
        <v>305</v>
      </c>
      <c r="B309" s="174" t="s">
        <v>3039</v>
      </c>
      <c r="C309" s="175" t="s">
        <v>3040</v>
      </c>
      <c r="D309" s="176" t="s">
        <v>3041</v>
      </c>
      <c r="E309" s="177" t="s">
        <v>3042</v>
      </c>
      <c r="F309" s="178" t="s">
        <v>8</v>
      </c>
      <c r="G309" s="179">
        <v>50</v>
      </c>
      <c r="H309" s="120">
        <f t="shared" si="9"/>
        <v>450</v>
      </c>
      <c r="I309" s="452">
        <f>+(1195+825)/3</f>
        <v>673.33333333333337</v>
      </c>
      <c r="J309" s="490">
        <f t="shared" si="10"/>
        <v>1123.3333333333335</v>
      </c>
      <c r="K309" s="327"/>
      <c r="L309" s="328"/>
    </row>
    <row r="310" spans="1:12" ht="20.25" customHeight="1" x14ac:dyDescent="0.2">
      <c r="A310" s="114">
        <v>306</v>
      </c>
      <c r="B310" s="47" t="s">
        <v>3043</v>
      </c>
      <c r="C310" s="10" t="s">
        <v>3044</v>
      </c>
      <c r="D310" s="11" t="s">
        <v>2703</v>
      </c>
      <c r="E310" s="5" t="s">
        <v>3042</v>
      </c>
      <c r="F310" s="100" t="s">
        <v>11</v>
      </c>
      <c r="G310" s="125">
        <v>50</v>
      </c>
      <c r="H310" s="122">
        <f t="shared" si="9"/>
        <v>450</v>
      </c>
      <c r="I310" s="450">
        <f>+(1195+825)/3</f>
        <v>673.33333333333337</v>
      </c>
      <c r="J310" s="491">
        <f t="shared" si="10"/>
        <v>1123.3333333333335</v>
      </c>
      <c r="K310" s="323"/>
      <c r="L310" s="324"/>
    </row>
    <row r="311" spans="1:12" ht="20.25" customHeight="1" x14ac:dyDescent="0.2">
      <c r="A311" s="114">
        <v>307</v>
      </c>
      <c r="B311" s="47" t="s">
        <v>3045</v>
      </c>
      <c r="C311" s="10" t="s">
        <v>2281</v>
      </c>
      <c r="D311" s="11" t="s">
        <v>3046</v>
      </c>
      <c r="E311" s="5" t="s">
        <v>3042</v>
      </c>
      <c r="F311" s="100" t="s">
        <v>14</v>
      </c>
      <c r="G311" s="125">
        <v>50</v>
      </c>
      <c r="H311" s="122">
        <f t="shared" si="9"/>
        <v>450</v>
      </c>
      <c r="I311" s="450">
        <f>+(1195+825)/3</f>
        <v>673.33333333333337</v>
      </c>
      <c r="J311" s="491">
        <f t="shared" si="10"/>
        <v>1123.3333333333335</v>
      </c>
      <c r="K311" s="323"/>
      <c r="L311" s="324"/>
    </row>
    <row r="312" spans="1:12" ht="20.25" customHeight="1" thickBot="1" x14ac:dyDescent="0.25">
      <c r="A312" s="319">
        <v>308</v>
      </c>
      <c r="B312" s="226"/>
      <c r="C312" s="184" t="s">
        <v>4946</v>
      </c>
      <c r="D312" s="227"/>
      <c r="E312" s="183" t="s">
        <v>3042</v>
      </c>
      <c r="F312" s="184" t="s">
        <v>17</v>
      </c>
      <c r="G312" s="228"/>
      <c r="H312" s="185"/>
      <c r="I312" s="286"/>
      <c r="J312" s="493">
        <f t="shared" si="10"/>
        <v>0</v>
      </c>
      <c r="K312" s="329" t="s">
        <v>4946</v>
      </c>
      <c r="L312" s="326"/>
    </row>
    <row r="313" spans="1:12" ht="20.25" customHeight="1" x14ac:dyDescent="0.2">
      <c r="A313" s="108">
        <v>309</v>
      </c>
      <c r="B313" s="174" t="s">
        <v>3047</v>
      </c>
      <c r="C313" s="175" t="s">
        <v>3048</v>
      </c>
      <c r="D313" s="176" t="s">
        <v>3049</v>
      </c>
      <c r="E313" s="177" t="s">
        <v>3050</v>
      </c>
      <c r="F313" s="178" t="s">
        <v>8</v>
      </c>
      <c r="G313" s="179">
        <v>200</v>
      </c>
      <c r="H313" s="120">
        <f t="shared" si="9"/>
        <v>300</v>
      </c>
      <c r="I313" s="452">
        <f>+(870+650)/3</f>
        <v>506.66666666666669</v>
      </c>
      <c r="J313" s="490">
        <f t="shared" si="10"/>
        <v>806.66666666666674</v>
      </c>
      <c r="K313" s="327"/>
      <c r="L313" s="328"/>
    </row>
    <row r="314" spans="1:12" ht="20.25" customHeight="1" x14ac:dyDescent="0.2">
      <c r="A314" s="114">
        <v>310</v>
      </c>
      <c r="B314" s="47" t="s">
        <v>3051</v>
      </c>
      <c r="C314" s="10" t="s">
        <v>3052</v>
      </c>
      <c r="D314" s="11" t="s">
        <v>3053</v>
      </c>
      <c r="E314" s="5" t="s">
        <v>3050</v>
      </c>
      <c r="F314" s="100" t="s">
        <v>11</v>
      </c>
      <c r="G314" s="125">
        <v>150</v>
      </c>
      <c r="H314" s="122">
        <f t="shared" si="9"/>
        <v>350</v>
      </c>
      <c r="I314" s="450">
        <f>+(870+650)/3</f>
        <v>506.66666666666669</v>
      </c>
      <c r="J314" s="491">
        <f t="shared" si="10"/>
        <v>856.66666666666674</v>
      </c>
      <c r="K314" s="323"/>
      <c r="L314" s="324"/>
    </row>
    <row r="315" spans="1:12" ht="20.25" customHeight="1" x14ac:dyDescent="0.2">
      <c r="A315" s="114">
        <v>311</v>
      </c>
      <c r="B315" s="84"/>
      <c r="C315" s="85" t="s">
        <v>4876</v>
      </c>
      <c r="D315" s="86"/>
      <c r="E315" s="83">
        <v>2407</v>
      </c>
      <c r="F315" s="85">
        <v>3</v>
      </c>
      <c r="G315" s="156">
        <v>0</v>
      </c>
      <c r="H315" s="155">
        <v>0</v>
      </c>
      <c r="I315" s="292"/>
      <c r="J315" s="491">
        <f t="shared" si="10"/>
        <v>0</v>
      </c>
      <c r="K315" s="338" t="s">
        <v>4876</v>
      </c>
      <c r="L315" s="324"/>
    </row>
    <row r="316" spans="1:12" ht="20.25" customHeight="1" thickBot="1" x14ac:dyDescent="0.25">
      <c r="A316" s="158">
        <v>312</v>
      </c>
      <c r="B316" s="192" t="s">
        <v>3054</v>
      </c>
      <c r="C316" s="193" t="s">
        <v>3055</v>
      </c>
      <c r="D316" s="194" t="s">
        <v>3056</v>
      </c>
      <c r="E316" s="195" t="s">
        <v>3050</v>
      </c>
      <c r="F316" s="196" t="s">
        <v>17</v>
      </c>
      <c r="G316" s="197">
        <v>150</v>
      </c>
      <c r="H316" s="153">
        <f t="shared" si="9"/>
        <v>350</v>
      </c>
      <c r="I316" s="451">
        <f>+(870+650)/3</f>
        <v>506.66666666666669</v>
      </c>
      <c r="J316" s="492">
        <f t="shared" si="10"/>
        <v>856.66666666666674</v>
      </c>
      <c r="K316" s="325"/>
      <c r="L316" s="326"/>
    </row>
    <row r="317" spans="1:12" ht="20.25" customHeight="1" x14ac:dyDescent="0.2">
      <c r="A317" s="108">
        <v>313</v>
      </c>
      <c r="B317" s="171" t="s">
        <v>3057</v>
      </c>
      <c r="C317" s="110" t="s">
        <v>3058</v>
      </c>
      <c r="D317" s="111" t="s">
        <v>3059</v>
      </c>
      <c r="E317" s="112" t="s">
        <v>3060</v>
      </c>
      <c r="F317" s="113" t="s">
        <v>8</v>
      </c>
      <c r="G317" s="119">
        <v>100</v>
      </c>
      <c r="H317" s="120">
        <f t="shared" si="9"/>
        <v>400</v>
      </c>
      <c r="I317" s="452">
        <f>+(840+570)/4</f>
        <v>352.5</v>
      </c>
      <c r="J317" s="490">
        <f t="shared" si="10"/>
        <v>752.5</v>
      </c>
      <c r="K317" s="327"/>
      <c r="L317" s="328"/>
    </row>
    <row r="318" spans="1:12" ht="20.25" customHeight="1" x14ac:dyDescent="0.2">
      <c r="A318" s="114">
        <v>314</v>
      </c>
      <c r="B318" s="1" t="s">
        <v>3061</v>
      </c>
      <c r="C318" s="6" t="s">
        <v>3062</v>
      </c>
      <c r="D318" s="7" t="s">
        <v>3063</v>
      </c>
      <c r="E318" s="2" t="s">
        <v>3060</v>
      </c>
      <c r="F318" s="99" t="s">
        <v>11</v>
      </c>
      <c r="G318" s="121">
        <v>50</v>
      </c>
      <c r="H318" s="122">
        <f t="shared" si="9"/>
        <v>450</v>
      </c>
      <c r="I318" s="450">
        <f>+(840+570)/4</f>
        <v>352.5</v>
      </c>
      <c r="J318" s="491">
        <f t="shared" si="10"/>
        <v>802.5</v>
      </c>
      <c r="K318" s="323"/>
      <c r="L318" s="324"/>
    </row>
    <row r="319" spans="1:12" ht="20.25" customHeight="1" x14ac:dyDescent="0.2">
      <c r="A319" s="114">
        <v>315</v>
      </c>
      <c r="B319" s="1" t="s">
        <v>3064</v>
      </c>
      <c r="C319" s="6" t="s">
        <v>3065</v>
      </c>
      <c r="D319" s="7" t="s">
        <v>3066</v>
      </c>
      <c r="E319" s="2" t="s">
        <v>3060</v>
      </c>
      <c r="F319" s="99" t="s">
        <v>14</v>
      </c>
      <c r="G319" s="121">
        <v>50</v>
      </c>
      <c r="H319" s="122">
        <f t="shared" si="9"/>
        <v>450</v>
      </c>
      <c r="I319" s="450">
        <f>+(840+570)/4</f>
        <v>352.5</v>
      </c>
      <c r="J319" s="491">
        <f t="shared" si="10"/>
        <v>802.5</v>
      </c>
      <c r="K319" s="323"/>
      <c r="L319" s="324"/>
    </row>
    <row r="320" spans="1:12" ht="20.25" customHeight="1" thickBot="1" x14ac:dyDescent="0.25">
      <c r="A320" s="158">
        <v>316</v>
      </c>
      <c r="B320" s="159" t="s">
        <v>3067</v>
      </c>
      <c r="C320" s="160" t="s">
        <v>3068</v>
      </c>
      <c r="D320" s="161" t="s">
        <v>3069</v>
      </c>
      <c r="E320" s="162" t="s">
        <v>3060</v>
      </c>
      <c r="F320" s="163" t="s">
        <v>17</v>
      </c>
      <c r="G320" s="164">
        <v>50</v>
      </c>
      <c r="H320" s="153">
        <f t="shared" si="9"/>
        <v>450</v>
      </c>
      <c r="I320" s="451">
        <f>+(840+570)/4</f>
        <v>352.5</v>
      </c>
      <c r="J320" s="492">
        <f t="shared" si="10"/>
        <v>802.5</v>
      </c>
      <c r="K320" s="325"/>
      <c r="L320" s="326"/>
    </row>
    <row r="321" spans="1:12" ht="20.25" customHeight="1" x14ac:dyDescent="0.2">
      <c r="A321" s="108">
        <v>317</v>
      </c>
      <c r="B321" s="171" t="s">
        <v>3070</v>
      </c>
      <c r="C321" s="110" t="s">
        <v>3071</v>
      </c>
      <c r="D321" s="111" t="s">
        <v>3072</v>
      </c>
      <c r="E321" s="112" t="s">
        <v>3073</v>
      </c>
      <c r="F321" s="113" t="s">
        <v>8</v>
      </c>
      <c r="G321" s="119">
        <v>50</v>
      </c>
      <c r="H321" s="120">
        <f t="shared" si="9"/>
        <v>450</v>
      </c>
      <c r="I321" s="452">
        <f>+(1225+570)/4</f>
        <v>448.75</v>
      </c>
      <c r="J321" s="490">
        <f t="shared" si="10"/>
        <v>898.75</v>
      </c>
      <c r="K321" s="327"/>
      <c r="L321" s="328"/>
    </row>
    <row r="322" spans="1:12" ht="20.25" customHeight="1" x14ac:dyDescent="0.2">
      <c r="A322" s="114">
        <v>318</v>
      </c>
      <c r="B322" s="1" t="s">
        <v>3074</v>
      </c>
      <c r="C322" s="6" t="s">
        <v>3075</v>
      </c>
      <c r="D322" s="7" t="s">
        <v>3076</v>
      </c>
      <c r="E322" s="2" t="s">
        <v>3073</v>
      </c>
      <c r="F322" s="99" t="s">
        <v>11</v>
      </c>
      <c r="G322" s="121">
        <v>50</v>
      </c>
      <c r="H322" s="122">
        <f t="shared" si="9"/>
        <v>450</v>
      </c>
      <c r="I322" s="450">
        <f>+(1225+570)/4</f>
        <v>448.75</v>
      </c>
      <c r="J322" s="491">
        <f t="shared" si="10"/>
        <v>898.75</v>
      </c>
      <c r="K322" s="323"/>
      <c r="L322" s="324"/>
    </row>
    <row r="323" spans="1:12" ht="20.25" customHeight="1" x14ac:dyDescent="0.2">
      <c r="A323" s="114">
        <v>319</v>
      </c>
      <c r="B323" s="1" t="s">
        <v>3077</v>
      </c>
      <c r="C323" s="6" t="s">
        <v>3078</v>
      </c>
      <c r="D323" s="7" t="s">
        <v>3079</v>
      </c>
      <c r="E323" s="2" t="s">
        <v>3073</v>
      </c>
      <c r="F323" s="99" t="s">
        <v>14</v>
      </c>
      <c r="G323" s="121">
        <v>50</v>
      </c>
      <c r="H323" s="122">
        <f t="shared" si="9"/>
        <v>450</v>
      </c>
      <c r="I323" s="450">
        <f>+(1225+570)/4</f>
        <v>448.75</v>
      </c>
      <c r="J323" s="491">
        <f t="shared" si="10"/>
        <v>898.75</v>
      </c>
      <c r="K323" s="323"/>
      <c r="L323" s="324"/>
    </row>
    <row r="324" spans="1:12" ht="20.25" customHeight="1" thickBot="1" x14ac:dyDescent="0.25">
      <c r="A324" s="158">
        <v>320</v>
      </c>
      <c r="B324" s="159" t="s">
        <v>3080</v>
      </c>
      <c r="C324" s="160" t="s">
        <v>3081</v>
      </c>
      <c r="D324" s="161" t="s">
        <v>3082</v>
      </c>
      <c r="E324" s="162" t="s">
        <v>3073</v>
      </c>
      <c r="F324" s="163" t="s">
        <v>17</v>
      </c>
      <c r="G324" s="164">
        <v>50</v>
      </c>
      <c r="H324" s="153">
        <f t="shared" ref="H324:H387" si="11">500-G324</f>
        <v>450</v>
      </c>
      <c r="I324" s="451">
        <f>+(1225+570)/4</f>
        <v>448.75</v>
      </c>
      <c r="J324" s="492">
        <f t="shared" si="10"/>
        <v>898.75</v>
      </c>
      <c r="K324" s="325"/>
      <c r="L324" s="326"/>
    </row>
    <row r="325" spans="1:12" ht="20.25" customHeight="1" x14ac:dyDescent="0.2">
      <c r="A325" s="108">
        <v>321</v>
      </c>
      <c r="B325" s="171" t="s">
        <v>3083</v>
      </c>
      <c r="C325" s="110" t="s">
        <v>3084</v>
      </c>
      <c r="D325" s="111" t="s">
        <v>3085</v>
      </c>
      <c r="E325" s="112" t="s">
        <v>3086</v>
      </c>
      <c r="F325" s="113" t="s">
        <v>8</v>
      </c>
      <c r="G325" s="119">
        <v>100</v>
      </c>
      <c r="H325" s="120">
        <f t="shared" si="11"/>
        <v>400</v>
      </c>
      <c r="I325" s="452">
        <f>+(1540+1270)/4</f>
        <v>702.5</v>
      </c>
      <c r="J325" s="490">
        <f t="shared" si="10"/>
        <v>1102.5</v>
      </c>
      <c r="K325" s="327"/>
      <c r="L325" s="328"/>
    </row>
    <row r="326" spans="1:12" ht="20.25" customHeight="1" x14ac:dyDescent="0.2">
      <c r="A326" s="114">
        <v>322</v>
      </c>
      <c r="B326" s="1" t="s">
        <v>3087</v>
      </c>
      <c r="C326" s="6" t="s">
        <v>3088</v>
      </c>
      <c r="D326" s="7" t="s">
        <v>3089</v>
      </c>
      <c r="E326" s="2" t="s">
        <v>3086</v>
      </c>
      <c r="F326" s="99" t="s">
        <v>11</v>
      </c>
      <c r="G326" s="121">
        <v>100</v>
      </c>
      <c r="H326" s="122">
        <f t="shared" si="11"/>
        <v>400</v>
      </c>
      <c r="I326" s="450">
        <f>+(1540+1270)/4</f>
        <v>702.5</v>
      </c>
      <c r="J326" s="491">
        <f t="shared" si="10"/>
        <v>1102.5</v>
      </c>
      <c r="K326" s="323"/>
      <c r="L326" s="324"/>
    </row>
    <row r="327" spans="1:12" ht="20.25" customHeight="1" x14ac:dyDescent="0.2">
      <c r="A327" s="114">
        <v>323</v>
      </c>
      <c r="B327" s="1" t="s">
        <v>3090</v>
      </c>
      <c r="C327" s="6" t="s">
        <v>3091</v>
      </c>
      <c r="D327" s="7" t="s">
        <v>3092</v>
      </c>
      <c r="E327" s="2" t="s">
        <v>3086</v>
      </c>
      <c r="F327" s="99" t="s">
        <v>14</v>
      </c>
      <c r="G327" s="121">
        <v>150</v>
      </c>
      <c r="H327" s="122">
        <f t="shared" si="11"/>
        <v>350</v>
      </c>
      <c r="I327" s="450">
        <f>+(1540+1270)/4</f>
        <v>702.5</v>
      </c>
      <c r="J327" s="491">
        <f t="shared" si="10"/>
        <v>1052.5</v>
      </c>
      <c r="K327" s="323"/>
      <c r="L327" s="324"/>
    </row>
    <row r="328" spans="1:12" ht="20.25" customHeight="1" thickBot="1" x14ac:dyDescent="0.25">
      <c r="A328" s="158">
        <v>324</v>
      </c>
      <c r="B328" s="159" t="s">
        <v>3093</v>
      </c>
      <c r="C328" s="160" t="s">
        <v>2626</v>
      </c>
      <c r="D328" s="161" t="s">
        <v>3094</v>
      </c>
      <c r="E328" s="162" t="s">
        <v>3086</v>
      </c>
      <c r="F328" s="163" t="s">
        <v>17</v>
      </c>
      <c r="G328" s="164">
        <v>100</v>
      </c>
      <c r="H328" s="153">
        <f t="shared" si="11"/>
        <v>400</v>
      </c>
      <c r="I328" s="451">
        <f>+(1540+1270)/4</f>
        <v>702.5</v>
      </c>
      <c r="J328" s="492">
        <f t="shared" si="10"/>
        <v>1102.5</v>
      </c>
      <c r="K328" s="325"/>
      <c r="L328" s="326"/>
    </row>
    <row r="329" spans="1:12" ht="20.25" customHeight="1" x14ac:dyDescent="0.2">
      <c r="A329" s="108">
        <v>325</v>
      </c>
      <c r="B329" s="171" t="s">
        <v>3095</v>
      </c>
      <c r="C329" s="110" t="s">
        <v>3096</v>
      </c>
      <c r="D329" s="111" t="s">
        <v>3097</v>
      </c>
      <c r="E329" s="112" t="s">
        <v>3098</v>
      </c>
      <c r="F329" s="113" t="s">
        <v>8</v>
      </c>
      <c r="G329" s="119">
        <v>100</v>
      </c>
      <c r="H329" s="120">
        <f t="shared" si="11"/>
        <v>400</v>
      </c>
      <c r="I329" s="452">
        <f>+(1000+435)/4</f>
        <v>358.75</v>
      </c>
      <c r="J329" s="490">
        <f t="shared" si="10"/>
        <v>758.75</v>
      </c>
      <c r="K329" s="327"/>
      <c r="L329" s="328"/>
    </row>
    <row r="330" spans="1:12" ht="20.25" customHeight="1" x14ac:dyDescent="0.2">
      <c r="A330" s="114">
        <v>326</v>
      </c>
      <c r="B330" s="1" t="s">
        <v>3099</v>
      </c>
      <c r="C330" s="6" t="s">
        <v>3100</v>
      </c>
      <c r="D330" s="7" t="s">
        <v>3101</v>
      </c>
      <c r="E330" s="2" t="s">
        <v>3098</v>
      </c>
      <c r="F330" s="99" t="s">
        <v>11</v>
      </c>
      <c r="G330" s="121">
        <v>100</v>
      </c>
      <c r="H330" s="122">
        <f t="shared" si="11"/>
        <v>400</v>
      </c>
      <c r="I330" s="450">
        <f>+(1000+435)/4</f>
        <v>358.75</v>
      </c>
      <c r="J330" s="491">
        <f t="shared" si="10"/>
        <v>758.75</v>
      </c>
      <c r="K330" s="323"/>
      <c r="L330" s="324"/>
    </row>
    <row r="331" spans="1:12" ht="20.25" customHeight="1" x14ac:dyDescent="0.2">
      <c r="A331" s="114">
        <v>327</v>
      </c>
      <c r="B331" s="1" t="s">
        <v>3102</v>
      </c>
      <c r="C331" s="6" t="s">
        <v>3103</v>
      </c>
      <c r="D331" s="7" t="s">
        <v>3104</v>
      </c>
      <c r="E331" s="2" t="s">
        <v>3098</v>
      </c>
      <c r="F331" s="99" t="s">
        <v>14</v>
      </c>
      <c r="G331" s="121">
        <v>50</v>
      </c>
      <c r="H331" s="122">
        <f t="shared" si="11"/>
        <v>450</v>
      </c>
      <c r="I331" s="450">
        <f>+(1000+435)/4</f>
        <v>358.75</v>
      </c>
      <c r="J331" s="491">
        <f t="shared" si="10"/>
        <v>808.75</v>
      </c>
      <c r="K331" s="323"/>
      <c r="L331" s="324"/>
    </row>
    <row r="332" spans="1:12" ht="20.25" customHeight="1" thickBot="1" x14ac:dyDescent="0.25">
      <c r="A332" s="158">
        <v>328</v>
      </c>
      <c r="B332" s="159" t="s">
        <v>3105</v>
      </c>
      <c r="C332" s="160" t="s">
        <v>3106</v>
      </c>
      <c r="D332" s="161" t="s">
        <v>3107</v>
      </c>
      <c r="E332" s="162" t="s">
        <v>3098</v>
      </c>
      <c r="F332" s="163" t="s">
        <v>17</v>
      </c>
      <c r="G332" s="164">
        <v>50</v>
      </c>
      <c r="H332" s="153">
        <f t="shared" si="11"/>
        <v>450</v>
      </c>
      <c r="I332" s="451">
        <f>+(1000+435)/4</f>
        <v>358.75</v>
      </c>
      <c r="J332" s="492">
        <f t="shared" si="10"/>
        <v>808.75</v>
      </c>
      <c r="K332" s="325"/>
      <c r="L332" s="326"/>
    </row>
    <row r="333" spans="1:12" ht="20.25" customHeight="1" x14ac:dyDescent="0.2">
      <c r="A333" s="108">
        <v>329</v>
      </c>
      <c r="B333" s="171" t="s">
        <v>3108</v>
      </c>
      <c r="C333" s="110" t="s">
        <v>3109</v>
      </c>
      <c r="D333" s="111" t="s">
        <v>3110</v>
      </c>
      <c r="E333" s="112" t="s">
        <v>3111</v>
      </c>
      <c r="F333" s="113" t="s">
        <v>8</v>
      </c>
      <c r="G333" s="119">
        <v>100</v>
      </c>
      <c r="H333" s="120">
        <f t="shared" si="11"/>
        <v>400</v>
      </c>
      <c r="I333" s="452">
        <f>+(670+745)/4</f>
        <v>353.75</v>
      </c>
      <c r="J333" s="490">
        <f t="shared" si="10"/>
        <v>753.75</v>
      </c>
      <c r="K333" s="327"/>
      <c r="L333" s="328"/>
    </row>
    <row r="334" spans="1:12" ht="20.25" customHeight="1" x14ac:dyDescent="0.2">
      <c r="A334" s="114">
        <v>330</v>
      </c>
      <c r="B334" s="1" t="s">
        <v>3112</v>
      </c>
      <c r="C334" s="6" t="s">
        <v>2922</v>
      </c>
      <c r="D334" s="7" t="s">
        <v>3113</v>
      </c>
      <c r="E334" s="2" t="s">
        <v>3111</v>
      </c>
      <c r="F334" s="99" t="s">
        <v>11</v>
      </c>
      <c r="G334" s="121">
        <v>100</v>
      </c>
      <c r="H334" s="122">
        <f t="shared" si="11"/>
        <v>400</v>
      </c>
      <c r="I334" s="450">
        <f>+(670+745)/4</f>
        <v>353.75</v>
      </c>
      <c r="J334" s="491">
        <f t="shared" si="10"/>
        <v>753.75</v>
      </c>
      <c r="K334" s="323"/>
      <c r="L334" s="324"/>
    </row>
    <row r="335" spans="1:12" s="37" customFormat="1" ht="20.25" customHeight="1" x14ac:dyDescent="0.2">
      <c r="A335" s="116">
        <v>331</v>
      </c>
      <c r="B335" s="46" t="s">
        <v>3114</v>
      </c>
      <c r="C335" s="29" t="s">
        <v>3115</v>
      </c>
      <c r="D335" s="28" t="s">
        <v>3116</v>
      </c>
      <c r="E335" s="30" t="s">
        <v>3111</v>
      </c>
      <c r="F335" s="73" t="s">
        <v>14</v>
      </c>
      <c r="G335" s="126">
        <v>100</v>
      </c>
      <c r="H335" s="127">
        <f t="shared" si="11"/>
        <v>400</v>
      </c>
      <c r="I335" s="294">
        <f>+(670+745)/4</f>
        <v>353.75</v>
      </c>
      <c r="J335" s="497">
        <f t="shared" si="10"/>
        <v>753.75</v>
      </c>
      <c r="K335" s="333" t="s">
        <v>4996</v>
      </c>
      <c r="L335" s="334">
        <v>6280</v>
      </c>
    </row>
    <row r="336" spans="1:12" ht="20.25" customHeight="1" thickBot="1" x14ac:dyDescent="0.25">
      <c r="A336" s="158">
        <v>332</v>
      </c>
      <c r="B336" s="159" t="s">
        <v>3117</v>
      </c>
      <c r="C336" s="160" t="s">
        <v>3118</v>
      </c>
      <c r="D336" s="161" t="s">
        <v>3119</v>
      </c>
      <c r="E336" s="162" t="s">
        <v>3111</v>
      </c>
      <c r="F336" s="163" t="s">
        <v>17</v>
      </c>
      <c r="G336" s="164">
        <v>100</v>
      </c>
      <c r="H336" s="153">
        <f t="shared" si="11"/>
        <v>400</v>
      </c>
      <c r="I336" s="451">
        <f>+(670+745)/4</f>
        <v>353.75</v>
      </c>
      <c r="J336" s="492">
        <f t="shared" si="10"/>
        <v>753.75</v>
      </c>
      <c r="K336" s="325"/>
      <c r="L336" s="326"/>
    </row>
    <row r="337" spans="1:12" ht="20.25" customHeight="1" x14ac:dyDescent="0.2">
      <c r="A337" s="108">
        <v>333</v>
      </c>
      <c r="B337" s="171" t="s">
        <v>3120</v>
      </c>
      <c r="C337" s="110" t="s">
        <v>3121</v>
      </c>
      <c r="D337" s="111" t="s">
        <v>3122</v>
      </c>
      <c r="E337" s="112" t="s">
        <v>3123</v>
      </c>
      <c r="F337" s="113" t="s">
        <v>8</v>
      </c>
      <c r="G337" s="119">
        <v>100</v>
      </c>
      <c r="H337" s="120">
        <f t="shared" si="11"/>
        <v>400</v>
      </c>
      <c r="I337" s="452">
        <f>+(735+725)/4</f>
        <v>365</v>
      </c>
      <c r="J337" s="490">
        <f t="shared" ref="J337:J400" si="12">SUM(H337:I337)</f>
        <v>765</v>
      </c>
      <c r="K337" s="327"/>
      <c r="L337" s="328"/>
    </row>
    <row r="338" spans="1:12" ht="20.25" customHeight="1" x14ac:dyDescent="0.2">
      <c r="A338" s="114">
        <v>334</v>
      </c>
      <c r="B338" s="1" t="s">
        <v>3124</v>
      </c>
      <c r="C338" s="6" t="s">
        <v>3125</v>
      </c>
      <c r="D338" s="7" t="s">
        <v>3126</v>
      </c>
      <c r="E338" s="2" t="s">
        <v>3123</v>
      </c>
      <c r="F338" s="99" t="s">
        <v>11</v>
      </c>
      <c r="G338" s="121">
        <v>150</v>
      </c>
      <c r="H338" s="122">
        <f t="shared" si="11"/>
        <v>350</v>
      </c>
      <c r="I338" s="450">
        <f>+(735+725)/4</f>
        <v>365</v>
      </c>
      <c r="J338" s="491">
        <f t="shared" si="12"/>
        <v>715</v>
      </c>
      <c r="K338" s="323"/>
      <c r="L338" s="324"/>
    </row>
    <row r="339" spans="1:12" ht="20.25" customHeight="1" x14ac:dyDescent="0.2">
      <c r="A339" s="114">
        <v>335</v>
      </c>
      <c r="B339" s="1" t="s">
        <v>3127</v>
      </c>
      <c r="C339" s="6" t="s">
        <v>2522</v>
      </c>
      <c r="D339" s="7" t="s">
        <v>3128</v>
      </c>
      <c r="E339" s="2" t="s">
        <v>3123</v>
      </c>
      <c r="F339" s="99" t="s">
        <v>14</v>
      </c>
      <c r="G339" s="121">
        <v>100</v>
      </c>
      <c r="H339" s="122">
        <f t="shared" si="11"/>
        <v>400</v>
      </c>
      <c r="I339" s="450">
        <f>+(735+725)/4</f>
        <v>365</v>
      </c>
      <c r="J339" s="491">
        <f t="shared" si="12"/>
        <v>765</v>
      </c>
      <c r="K339" s="323"/>
      <c r="L339" s="324"/>
    </row>
    <row r="340" spans="1:12" ht="20.25" customHeight="1" thickBot="1" x14ac:dyDescent="0.25">
      <c r="A340" s="158">
        <v>336</v>
      </c>
      <c r="B340" s="159" t="s">
        <v>3129</v>
      </c>
      <c r="C340" s="160" t="s">
        <v>3130</v>
      </c>
      <c r="D340" s="161" t="s">
        <v>3131</v>
      </c>
      <c r="E340" s="162" t="s">
        <v>3123</v>
      </c>
      <c r="F340" s="163" t="s">
        <v>17</v>
      </c>
      <c r="G340" s="164">
        <v>100</v>
      </c>
      <c r="H340" s="153">
        <f t="shared" si="11"/>
        <v>400</v>
      </c>
      <c r="I340" s="451">
        <f>+(735+725)/4</f>
        <v>365</v>
      </c>
      <c r="J340" s="492">
        <f t="shared" si="12"/>
        <v>765</v>
      </c>
      <c r="K340" s="325"/>
      <c r="L340" s="326"/>
    </row>
    <row r="341" spans="1:12" ht="20.25" customHeight="1" x14ac:dyDescent="0.2">
      <c r="A341" s="108">
        <v>337</v>
      </c>
      <c r="B341" s="171" t="s">
        <v>3132</v>
      </c>
      <c r="C341" s="110" t="s">
        <v>2263</v>
      </c>
      <c r="D341" s="111" t="s">
        <v>3133</v>
      </c>
      <c r="E341" s="112" t="s">
        <v>3134</v>
      </c>
      <c r="F341" s="113" t="s">
        <v>8</v>
      </c>
      <c r="G341" s="119">
        <v>100</v>
      </c>
      <c r="H341" s="120">
        <f t="shared" si="11"/>
        <v>400</v>
      </c>
      <c r="I341" s="452">
        <f>+(0+310)/4</f>
        <v>77.5</v>
      </c>
      <c r="J341" s="490">
        <f t="shared" si="12"/>
        <v>477.5</v>
      </c>
      <c r="K341" s="327"/>
      <c r="L341" s="328"/>
    </row>
    <row r="342" spans="1:12" ht="20.25" customHeight="1" x14ac:dyDescent="0.2">
      <c r="A342" s="114">
        <v>338</v>
      </c>
      <c r="B342" s="1" t="s">
        <v>3135</v>
      </c>
      <c r="C342" s="6" t="s">
        <v>2364</v>
      </c>
      <c r="D342" s="7" t="s">
        <v>3136</v>
      </c>
      <c r="E342" s="2" t="s">
        <v>3134</v>
      </c>
      <c r="F342" s="99" t="s">
        <v>11</v>
      </c>
      <c r="G342" s="121">
        <v>100</v>
      </c>
      <c r="H342" s="122">
        <f t="shared" si="11"/>
        <v>400</v>
      </c>
      <c r="I342" s="450">
        <f>+(0+310)/4</f>
        <v>77.5</v>
      </c>
      <c r="J342" s="491">
        <f t="shared" si="12"/>
        <v>477.5</v>
      </c>
      <c r="K342" s="323"/>
      <c r="L342" s="324"/>
    </row>
    <row r="343" spans="1:12" ht="20.25" customHeight="1" x14ac:dyDescent="0.2">
      <c r="A343" s="114">
        <v>339</v>
      </c>
      <c r="B343" s="1" t="s">
        <v>3137</v>
      </c>
      <c r="C343" s="6" t="s">
        <v>3138</v>
      </c>
      <c r="D343" s="7" t="s">
        <v>3139</v>
      </c>
      <c r="E343" s="2" t="s">
        <v>3134</v>
      </c>
      <c r="F343" s="99" t="s">
        <v>14</v>
      </c>
      <c r="G343" s="121">
        <v>150</v>
      </c>
      <c r="H343" s="122">
        <f t="shared" si="11"/>
        <v>350</v>
      </c>
      <c r="I343" s="450">
        <f>+(0+310)/4</f>
        <v>77.5</v>
      </c>
      <c r="J343" s="491">
        <f t="shared" si="12"/>
        <v>427.5</v>
      </c>
      <c r="K343" s="323"/>
      <c r="L343" s="324"/>
    </row>
    <row r="344" spans="1:12" ht="20.25" customHeight="1" thickBot="1" x14ac:dyDescent="0.25">
      <c r="A344" s="158">
        <v>340</v>
      </c>
      <c r="B344" s="159" t="s">
        <v>3140</v>
      </c>
      <c r="C344" s="160" t="s">
        <v>3141</v>
      </c>
      <c r="D344" s="161" t="s">
        <v>3142</v>
      </c>
      <c r="E344" s="162" t="s">
        <v>3134</v>
      </c>
      <c r="F344" s="163" t="s">
        <v>17</v>
      </c>
      <c r="G344" s="164">
        <v>50</v>
      </c>
      <c r="H344" s="153">
        <f t="shared" si="11"/>
        <v>450</v>
      </c>
      <c r="I344" s="451">
        <f>+(0+310)/4</f>
        <v>77.5</v>
      </c>
      <c r="J344" s="492">
        <f t="shared" si="12"/>
        <v>527.5</v>
      </c>
      <c r="K344" s="325"/>
      <c r="L344" s="326"/>
    </row>
    <row r="345" spans="1:12" ht="20.25" customHeight="1" x14ac:dyDescent="0.2">
      <c r="A345" s="108">
        <v>341</v>
      </c>
      <c r="B345" s="174" t="s">
        <v>3143</v>
      </c>
      <c r="C345" s="175" t="s">
        <v>3144</v>
      </c>
      <c r="D345" s="176" t="s">
        <v>3145</v>
      </c>
      <c r="E345" s="177" t="s">
        <v>3146</v>
      </c>
      <c r="F345" s="178" t="s">
        <v>8</v>
      </c>
      <c r="G345" s="179">
        <v>50</v>
      </c>
      <c r="H345" s="120">
        <f t="shared" si="11"/>
        <v>450</v>
      </c>
      <c r="I345" s="452">
        <f>+(680+730)/4</f>
        <v>352.5</v>
      </c>
      <c r="J345" s="490">
        <f t="shared" si="12"/>
        <v>802.5</v>
      </c>
      <c r="K345" s="327"/>
      <c r="L345" s="328"/>
    </row>
    <row r="346" spans="1:12" ht="20.25" customHeight="1" x14ac:dyDescent="0.2">
      <c r="A346" s="114">
        <v>342</v>
      </c>
      <c r="B346" s="47" t="s">
        <v>3147</v>
      </c>
      <c r="C346" s="10" t="s">
        <v>3148</v>
      </c>
      <c r="D346" s="11" t="s">
        <v>3149</v>
      </c>
      <c r="E346" s="5" t="s">
        <v>3146</v>
      </c>
      <c r="F346" s="100" t="s">
        <v>11</v>
      </c>
      <c r="G346" s="125">
        <v>50</v>
      </c>
      <c r="H346" s="122">
        <f t="shared" si="11"/>
        <v>450</v>
      </c>
      <c r="I346" s="450">
        <f>+(680+730)/4</f>
        <v>352.5</v>
      </c>
      <c r="J346" s="491">
        <f t="shared" si="12"/>
        <v>802.5</v>
      </c>
      <c r="K346" s="323"/>
      <c r="L346" s="324"/>
    </row>
    <row r="347" spans="1:12" ht="20.25" customHeight="1" x14ac:dyDescent="0.2">
      <c r="A347" s="114">
        <v>343</v>
      </c>
      <c r="B347" s="47" t="s">
        <v>3150</v>
      </c>
      <c r="C347" s="10" t="s">
        <v>3151</v>
      </c>
      <c r="D347" s="11" t="s">
        <v>3152</v>
      </c>
      <c r="E347" s="5" t="s">
        <v>3146</v>
      </c>
      <c r="F347" s="100" t="s">
        <v>14</v>
      </c>
      <c r="G347" s="125">
        <v>50</v>
      </c>
      <c r="H347" s="122">
        <f t="shared" si="11"/>
        <v>450</v>
      </c>
      <c r="I347" s="450">
        <f>+(680+730)/4</f>
        <v>352.5</v>
      </c>
      <c r="J347" s="491">
        <f t="shared" si="12"/>
        <v>802.5</v>
      </c>
      <c r="K347" s="323"/>
      <c r="L347" s="324"/>
    </row>
    <row r="348" spans="1:12" ht="20.25" customHeight="1" thickBot="1" x14ac:dyDescent="0.25">
      <c r="A348" s="158">
        <v>344</v>
      </c>
      <c r="B348" s="192" t="s">
        <v>4971</v>
      </c>
      <c r="C348" s="193" t="s">
        <v>4896</v>
      </c>
      <c r="D348" s="194" t="s">
        <v>4897</v>
      </c>
      <c r="E348" s="195" t="s">
        <v>3146</v>
      </c>
      <c r="F348" s="196" t="s">
        <v>17</v>
      </c>
      <c r="G348" s="197">
        <v>150</v>
      </c>
      <c r="H348" s="153">
        <f t="shared" si="11"/>
        <v>350</v>
      </c>
      <c r="I348" s="451">
        <f>+(680+730)/4</f>
        <v>352.5</v>
      </c>
      <c r="J348" s="492">
        <f t="shared" si="12"/>
        <v>702.5</v>
      </c>
      <c r="K348" s="325"/>
      <c r="L348" s="326"/>
    </row>
    <row r="349" spans="1:12" ht="20.25" customHeight="1" x14ac:dyDescent="0.2">
      <c r="A349" s="108">
        <v>345</v>
      </c>
      <c r="B349" s="171" t="s">
        <v>3153</v>
      </c>
      <c r="C349" s="110" t="s">
        <v>2149</v>
      </c>
      <c r="D349" s="111" t="s">
        <v>3154</v>
      </c>
      <c r="E349" s="112" t="s">
        <v>3155</v>
      </c>
      <c r="F349" s="113" t="s">
        <v>8</v>
      </c>
      <c r="G349" s="119">
        <v>100</v>
      </c>
      <c r="H349" s="120">
        <f t="shared" si="11"/>
        <v>400</v>
      </c>
      <c r="I349" s="452">
        <f>+(0+0)/4</f>
        <v>0</v>
      </c>
      <c r="J349" s="490">
        <f t="shared" si="12"/>
        <v>400</v>
      </c>
      <c r="K349" s="327"/>
      <c r="L349" s="328"/>
    </row>
    <row r="350" spans="1:12" ht="20.25" customHeight="1" x14ac:dyDescent="0.2">
      <c r="A350" s="114">
        <v>346</v>
      </c>
      <c r="B350" s="1" t="s">
        <v>3156</v>
      </c>
      <c r="C350" s="6" t="s">
        <v>2243</v>
      </c>
      <c r="D350" s="7" t="s">
        <v>3157</v>
      </c>
      <c r="E350" s="2" t="s">
        <v>3155</v>
      </c>
      <c r="F350" s="99" t="s">
        <v>11</v>
      </c>
      <c r="G350" s="121">
        <v>100</v>
      </c>
      <c r="H350" s="122">
        <f t="shared" si="11"/>
        <v>400</v>
      </c>
      <c r="I350" s="450">
        <f>+(0+0)/4</f>
        <v>0</v>
      </c>
      <c r="J350" s="491">
        <f t="shared" si="12"/>
        <v>400</v>
      </c>
      <c r="K350" s="323"/>
      <c r="L350" s="324"/>
    </row>
    <row r="351" spans="1:12" ht="20.25" customHeight="1" x14ac:dyDescent="0.2">
      <c r="A351" s="114">
        <v>347</v>
      </c>
      <c r="B351" s="1" t="s">
        <v>3158</v>
      </c>
      <c r="C351" s="6" t="s">
        <v>3159</v>
      </c>
      <c r="D351" s="7" t="s">
        <v>3160</v>
      </c>
      <c r="E351" s="2" t="s">
        <v>3155</v>
      </c>
      <c r="F351" s="99" t="s">
        <v>14</v>
      </c>
      <c r="G351" s="121">
        <v>100</v>
      </c>
      <c r="H351" s="122">
        <f t="shared" si="11"/>
        <v>400</v>
      </c>
      <c r="I351" s="450">
        <f>+(0+0)/4</f>
        <v>0</v>
      </c>
      <c r="J351" s="491">
        <f t="shared" si="12"/>
        <v>400</v>
      </c>
      <c r="K351" s="323"/>
      <c r="L351" s="324"/>
    </row>
    <row r="352" spans="1:12" ht="20.25" customHeight="1" thickBot="1" x14ac:dyDescent="0.25">
      <c r="A352" s="158">
        <v>348</v>
      </c>
      <c r="B352" s="159" t="s">
        <v>3161</v>
      </c>
      <c r="C352" s="160" t="s">
        <v>2481</v>
      </c>
      <c r="D352" s="161" t="s">
        <v>3162</v>
      </c>
      <c r="E352" s="162" t="s">
        <v>3155</v>
      </c>
      <c r="F352" s="163" t="s">
        <v>17</v>
      </c>
      <c r="G352" s="164">
        <v>100</v>
      </c>
      <c r="H352" s="153">
        <f t="shared" si="11"/>
        <v>400</v>
      </c>
      <c r="I352" s="451">
        <f>+(0+0)/4</f>
        <v>0</v>
      </c>
      <c r="J352" s="492">
        <f t="shared" si="12"/>
        <v>400</v>
      </c>
      <c r="K352" s="325"/>
      <c r="L352" s="326"/>
    </row>
    <row r="353" spans="1:12" ht="20.25" customHeight="1" x14ac:dyDescent="0.2">
      <c r="A353" s="108">
        <v>349</v>
      </c>
      <c r="B353" s="171" t="s">
        <v>3163</v>
      </c>
      <c r="C353" s="110" t="s">
        <v>2397</v>
      </c>
      <c r="D353" s="111" t="s">
        <v>3164</v>
      </c>
      <c r="E353" s="112" t="s">
        <v>3165</v>
      </c>
      <c r="F353" s="113" t="s">
        <v>8</v>
      </c>
      <c r="G353" s="119">
        <v>50</v>
      </c>
      <c r="H353" s="120">
        <f t="shared" si="11"/>
        <v>450</v>
      </c>
      <c r="I353" s="452">
        <f>+(1195+665)/4</f>
        <v>465</v>
      </c>
      <c r="J353" s="490">
        <f t="shared" si="12"/>
        <v>915</v>
      </c>
      <c r="K353" s="327"/>
      <c r="L353" s="328"/>
    </row>
    <row r="354" spans="1:12" ht="20.25" customHeight="1" x14ac:dyDescent="0.2">
      <c r="A354" s="114">
        <v>350</v>
      </c>
      <c r="B354" s="1" t="s">
        <v>3166</v>
      </c>
      <c r="C354" s="6" t="s">
        <v>3167</v>
      </c>
      <c r="D354" s="7" t="s">
        <v>3168</v>
      </c>
      <c r="E354" s="2" t="s">
        <v>3165</v>
      </c>
      <c r="F354" s="99" t="s">
        <v>11</v>
      </c>
      <c r="G354" s="121">
        <v>50</v>
      </c>
      <c r="H354" s="122">
        <f t="shared" si="11"/>
        <v>450</v>
      </c>
      <c r="I354" s="450">
        <f>+(1195+665)/4</f>
        <v>465</v>
      </c>
      <c r="J354" s="491">
        <f t="shared" si="12"/>
        <v>915</v>
      </c>
      <c r="K354" s="323"/>
      <c r="L354" s="324"/>
    </row>
    <row r="355" spans="1:12" ht="20.25" customHeight="1" x14ac:dyDescent="0.2">
      <c r="A355" s="114">
        <v>351</v>
      </c>
      <c r="B355" s="1" t="s">
        <v>3169</v>
      </c>
      <c r="C355" s="6" t="s">
        <v>3170</v>
      </c>
      <c r="D355" s="7" t="s">
        <v>3171</v>
      </c>
      <c r="E355" s="2" t="s">
        <v>3165</v>
      </c>
      <c r="F355" s="99" t="s">
        <v>14</v>
      </c>
      <c r="G355" s="121">
        <v>50</v>
      </c>
      <c r="H355" s="122">
        <f t="shared" si="11"/>
        <v>450</v>
      </c>
      <c r="I355" s="450">
        <f>+(1195+665)/4</f>
        <v>465</v>
      </c>
      <c r="J355" s="491">
        <f t="shared" si="12"/>
        <v>915</v>
      </c>
      <c r="K355" s="323"/>
      <c r="L355" s="324"/>
    </row>
    <row r="356" spans="1:12" ht="20.25" customHeight="1" thickBot="1" x14ac:dyDescent="0.25">
      <c r="A356" s="158">
        <v>352</v>
      </c>
      <c r="B356" s="159" t="s">
        <v>3172</v>
      </c>
      <c r="C356" s="160" t="s">
        <v>3173</v>
      </c>
      <c r="D356" s="161" t="s">
        <v>645</v>
      </c>
      <c r="E356" s="162" t="s">
        <v>3165</v>
      </c>
      <c r="F356" s="163" t="s">
        <v>17</v>
      </c>
      <c r="G356" s="164">
        <v>50</v>
      </c>
      <c r="H356" s="153">
        <f t="shared" si="11"/>
        <v>450</v>
      </c>
      <c r="I356" s="451">
        <f>+(1195+665)/4</f>
        <v>465</v>
      </c>
      <c r="J356" s="492">
        <f t="shared" si="12"/>
        <v>915</v>
      </c>
      <c r="K356" s="325"/>
      <c r="L356" s="326"/>
    </row>
    <row r="357" spans="1:12" ht="20.25" customHeight="1" x14ac:dyDescent="0.2">
      <c r="A357" s="115">
        <v>353</v>
      </c>
      <c r="B357" s="64" t="s">
        <v>3174</v>
      </c>
      <c r="C357" s="65" t="s">
        <v>3175</v>
      </c>
      <c r="D357" s="66" t="s">
        <v>3176</v>
      </c>
      <c r="E357" s="67" t="s">
        <v>3177</v>
      </c>
      <c r="F357" s="98" t="s">
        <v>8</v>
      </c>
      <c r="G357" s="123">
        <v>100</v>
      </c>
      <c r="H357" s="124">
        <f t="shared" si="11"/>
        <v>400</v>
      </c>
      <c r="I357" s="463">
        <f>+(1075+595)/4</f>
        <v>417.5</v>
      </c>
      <c r="J357" s="490">
        <f t="shared" si="12"/>
        <v>817.5</v>
      </c>
      <c r="K357" s="339"/>
      <c r="L357" s="340"/>
    </row>
    <row r="358" spans="1:12" ht="20.25" customHeight="1" x14ac:dyDescent="0.2">
      <c r="A358" s="114">
        <v>354</v>
      </c>
      <c r="B358" s="1" t="s">
        <v>3178</v>
      </c>
      <c r="C358" s="6" t="s">
        <v>3179</v>
      </c>
      <c r="D358" s="7" t="s">
        <v>3180</v>
      </c>
      <c r="E358" s="2" t="s">
        <v>3177</v>
      </c>
      <c r="F358" s="99" t="s">
        <v>11</v>
      </c>
      <c r="G358" s="121">
        <v>100</v>
      </c>
      <c r="H358" s="122">
        <f t="shared" si="11"/>
        <v>400</v>
      </c>
      <c r="I358" s="450">
        <f>+(1075+595)/4</f>
        <v>417.5</v>
      </c>
      <c r="J358" s="491">
        <f t="shared" si="12"/>
        <v>817.5</v>
      </c>
      <c r="K358" s="323"/>
      <c r="L358" s="324"/>
    </row>
    <row r="359" spans="1:12" ht="20.25" customHeight="1" x14ac:dyDescent="0.2">
      <c r="A359" s="114">
        <v>355</v>
      </c>
      <c r="B359" s="1" t="s">
        <v>3181</v>
      </c>
      <c r="C359" s="6" t="s">
        <v>3182</v>
      </c>
      <c r="D359" s="7" t="s">
        <v>3183</v>
      </c>
      <c r="E359" s="2" t="s">
        <v>3177</v>
      </c>
      <c r="F359" s="99" t="s">
        <v>14</v>
      </c>
      <c r="G359" s="121">
        <v>100</v>
      </c>
      <c r="H359" s="122">
        <f t="shared" si="11"/>
        <v>400</v>
      </c>
      <c r="I359" s="450">
        <f>+(1075+595)/4</f>
        <v>417.5</v>
      </c>
      <c r="J359" s="491">
        <f t="shared" si="12"/>
        <v>817.5</v>
      </c>
      <c r="K359" s="323"/>
      <c r="L359" s="324"/>
    </row>
    <row r="360" spans="1:12" ht="20.25" customHeight="1" thickBot="1" x14ac:dyDescent="0.25">
      <c r="A360" s="158">
        <v>356</v>
      </c>
      <c r="B360" s="159" t="s">
        <v>3184</v>
      </c>
      <c r="C360" s="160" t="s">
        <v>3185</v>
      </c>
      <c r="D360" s="161" t="s">
        <v>3186</v>
      </c>
      <c r="E360" s="162" t="s">
        <v>3177</v>
      </c>
      <c r="F360" s="163" t="s">
        <v>17</v>
      </c>
      <c r="G360" s="164">
        <v>100</v>
      </c>
      <c r="H360" s="153">
        <f t="shared" si="11"/>
        <v>400</v>
      </c>
      <c r="I360" s="451">
        <f>+(1075+595)/4</f>
        <v>417.5</v>
      </c>
      <c r="J360" s="492">
        <f t="shared" si="12"/>
        <v>817.5</v>
      </c>
      <c r="K360" s="325"/>
      <c r="L360" s="326"/>
    </row>
    <row r="361" spans="1:12" ht="20.25" customHeight="1" x14ac:dyDescent="0.2">
      <c r="A361" s="108">
        <v>357</v>
      </c>
      <c r="B361" s="171" t="s">
        <v>3187</v>
      </c>
      <c r="C361" s="110" t="s">
        <v>3188</v>
      </c>
      <c r="D361" s="111" t="s">
        <v>3189</v>
      </c>
      <c r="E361" s="112" t="s">
        <v>3190</v>
      </c>
      <c r="F361" s="113" t="s">
        <v>8</v>
      </c>
      <c r="G361" s="119">
        <v>150</v>
      </c>
      <c r="H361" s="120">
        <f t="shared" si="11"/>
        <v>350</v>
      </c>
      <c r="I361" s="452">
        <f>+(1000+515)/4</f>
        <v>378.75</v>
      </c>
      <c r="J361" s="490">
        <f t="shared" si="12"/>
        <v>728.75</v>
      </c>
      <c r="K361" s="327"/>
      <c r="L361" s="328"/>
    </row>
    <row r="362" spans="1:12" ht="20.25" customHeight="1" x14ac:dyDescent="0.2">
      <c r="A362" s="114">
        <v>358</v>
      </c>
      <c r="B362" s="1" t="s">
        <v>3191</v>
      </c>
      <c r="C362" s="6" t="s">
        <v>3192</v>
      </c>
      <c r="D362" s="7" t="s">
        <v>3193</v>
      </c>
      <c r="E362" s="2" t="s">
        <v>3190</v>
      </c>
      <c r="F362" s="99" t="s">
        <v>11</v>
      </c>
      <c r="G362" s="121">
        <v>150</v>
      </c>
      <c r="H362" s="122">
        <f t="shared" si="11"/>
        <v>350</v>
      </c>
      <c r="I362" s="450">
        <f>+(1000+515)/4</f>
        <v>378.75</v>
      </c>
      <c r="J362" s="491">
        <f t="shared" si="12"/>
        <v>728.75</v>
      </c>
      <c r="K362" s="323"/>
      <c r="L362" s="324"/>
    </row>
    <row r="363" spans="1:12" ht="20.25" customHeight="1" x14ac:dyDescent="0.2">
      <c r="A363" s="114">
        <v>359</v>
      </c>
      <c r="B363" s="1" t="s">
        <v>3194</v>
      </c>
      <c r="C363" s="6" t="s">
        <v>2149</v>
      </c>
      <c r="D363" s="7" t="s">
        <v>3195</v>
      </c>
      <c r="E363" s="2" t="s">
        <v>3190</v>
      </c>
      <c r="F363" s="99" t="s">
        <v>14</v>
      </c>
      <c r="G363" s="121">
        <v>150</v>
      </c>
      <c r="H363" s="122">
        <f t="shared" si="11"/>
        <v>350</v>
      </c>
      <c r="I363" s="450">
        <f>+(1000+515)/4</f>
        <v>378.75</v>
      </c>
      <c r="J363" s="491">
        <f t="shared" si="12"/>
        <v>728.75</v>
      </c>
      <c r="K363" s="323"/>
      <c r="L363" s="324"/>
    </row>
    <row r="364" spans="1:12" ht="20.25" customHeight="1" thickBot="1" x14ac:dyDescent="0.25">
      <c r="A364" s="158">
        <v>360</v>
      </c>
      <c r="B364" s="159" t="s">
        <v>3196</v>
      </c>
      <c r="C364" s="160" t="s">
        <v>3197</v>
      </c>
      <c r="D364" s="161" t="s">
        <v>3198</v>
      </c>
      <c r="E364" s="162" t="s">
        <v>3190</v>
      </c>
      <c r="F364" s="163" t="s">
        <v>17</v>
      </c>
      <c r="G364" s="164">
        <v>150</v>
      </c>
      <c r="H364" s="153">
        <f t="shared" si="11"/>
        <v>350</v>
      </c>
      <c r="I364" s="451">
        <f>+(1000+515)/4</f>
        <v>378.75</v>
      </c>
      <c r="J364" s="492">
        <f t="shared" si="12"/>
        <v>728.75</v>
      </c>
      <c r="K364" s="325"/>
      <c r="L364" s="326"/>
    </row>
    <row r="365" spans="1:12" ht="20.25" customHeight="1" x14ac:dyDescent="0.2">
      <c r="A365" s="108">
        <v>361</v>
      </c>
      <c r="B365" s="174" t="s">
        <v>3555</v>
      </c>
      <c r="C365" s="175" t="s">
        <v>3308</v>
      </c>
      <c r="D365" s="176" t="s">
        <v>3556</v>
      </c>
      <c r="E365" s="177" t="s">
        <v>3202</v>
      </c>
      <c r="F365" s="178" t="s">
        <v>8</v>
      </c>
      <c r="G365" s="179">
        <v>150</v>
      </c>
      <c r="H365" s="120">
        <f t="shared" si="11"/>
        <v>350</v>
      </c>
      <c r="I365" s="452">
        <f>+(855+490)/4</f>
        <v>336.25</v>
      </c>
      <c r="J365" s="490">
        <f t="shared" si="12"/>
        <v>686.25</v>
      </c>
      <c r="K365" s="327"/>
      <c r="L365" s="328"/>
    </row>
    <row r="366" spans="1:12" ht="20.25" customHeight="1" x14ac:dyDescent="0.2">
      <c r="A366" s="114">
        <v>362</v>
      </c>
      <c r="B366" s="47" t="s">
        <v>3199</v>
      </c>
      <c r="C366" s="10" t="s">
        <v>3200</v>
      </c>
      <c r="D366" s="11" t="s">
        <v>3201</v>
      </c>
      <c r="E366" s="5" t="s">
        <v>3202</v>
      </c>
      <c r="F366" s="100" t="s">
        <v>11</v>
      </c>
      <c r="G366" s="125">
        <v>150</v>
      </c>
      <c r="H366" s="122">
        <f t="shared" si="11"/>
        <v>350</v>
      </c>
      <c r="I366" s="450">
        <f>+(855+490)/4</f>
        <v>336.25</v>
      </c>
      <c r="J366" s="491">
        <f t="shared" si="12"/>
        <v>686.25</v>
      </c>
      <c r="K366" s="323"/>
      <c r="L366" s="324"/>
    </row>
    <row r="367" spans="1:12" ht="20.25" customHeight="1" x14ac:dyDescent="0.2">
      <c r="A367" s="114">
        <v>363</v>
      </c>
      <c r="B367" s="47" t="s">
        <v>3203</v>
      </c>
      <c r="C367" s="10" t="s">
        <v>3204</v>
      </c>
      <c r="D367" s="11" t="s">
        <v>3205</v>
      </c>
      <c r="E367" s="5" t="s">
        <v>3202</v>
      </c>
      <c r="F367" s="100" t="s">
        <v>14</v>
      </c>
      <c r="G367" s="125">
        <v>100</v>
      </c>
      <c r="H367" s="122">
        <f t="shared" si="11"/>
        <v>400</v>
      </c>
      <c r="I367" s="450">
        <f>+(855+490)/4</f>
        <v>336.25</v>
      </c>
      <c r="J367" s="491">
        <f t="shared" si="12"/>
        <v>736.25</v>
      </c>
      <c r="K367" s="323"/>
      <c r="L367" s="324"/>
    </row>
    <row r="368" spans="1:12" ht="20.25" customHeight="1" thickBot="1" x14ac:dyDescent="0.25">
      <c r="A368" s="158">
        <v>364</v>
      </c>
      <c r="B368" s="192" t="s">
        <v>3206</v>
      </c>
      <c r="C368" s="193" t="s">
        <v>3207</v>
      </c>
      <c r="D368" s="194" t="s">
        <v>3208</v>
      </c>
      <c r="E368" s="195" t="s">
        <v>3202</v>
      </c>
      <c r="F368" s="196" t="s">
        <v>17</v>
      </c>
      <c r="G368" s="197">
        <v>100</v>
      </c>
      <c r="H368" s="153">
        <f t="shared" si="11"/>
        <v>400</v>
      </c>
      <c r="I368" s="451">
        <f>+(855+490)/4</f>
        <v>336.25</v>
      </c>
      <c r="J368" s="492">
        <f t="shared" si="12"/>
        <v>736.25</v>
      </c>
      <c r="K368" s="325"/>
      <c r="L368" s="326"/>
    </row>
    <row r="369" spans="1:12" ht="20.25" customHeight="1" x14ac:dyDescent="0.2">
      <c r="A369" s="108">
        <v>365</v>
      </c>
      <c r="B369" s="171" t="s">
        <v>3209</v>
      </c>
      <c r="C369" s="110" t="s">
        <v>3210</v>
      </c>
      <c r="D369" s="111" t="s">
        <v>3211</v>
      </c>
      <c r="E369" s="112" t="s">
        <v>3212</v>
      </c>
      <c r="F369" s="113" t="s">
        <v>8</v>
      </c>
      <c r="G369" s="119">
        <v>100</v>
      </c>
      <c r="H369" s="120">
        <f t="shared" si="11"/>
        <v>400</v>
      </c>
      <c r="I369" s="452">
        <f>+(1320+960)/4</f>
        <v>570</v>
      </c>
      <c r="J369" s="490">
        <f t="shared" si="12"/>
        <v>970</v>
      </c>
      <c r="K369" s="327"/>
      <c r="L369" s="328"/>
    </row>
    <row r="370" spans="1:12" ht="20.25" customHeight="1" x14ac:dyDescent="0.2">
      <c r="A370" s="114">
        <v>366</v>
      </c>
      <c r="B370" s="1" t="s">
        <v>3213</v>
      </c>
      <c r="C370" s="6" t="s">
        <v>3214</v>
      </c>
      <c r="D370" s="7" t="s">
        <v>3215</v>
      </c>
      <c r="E370" s="2" t="s">
        <v>3212</v>
      </c>
      <c r="F370" s="99" t="s">
        <v>11</v>
      </c>
      <c r="G370" s="121">
        <v>150</v>
      </c>
      <c r="H370" s="122">
        <f t="shared" si="11"/>
        <v>350</v>
      </c>
      <c r="I370" s="450">
        <f>+(1320+960)/4</f>
        <v>570</v>
      </c>
      <c r="J370" s="491">
        <f t="shared" si="12"/>
        <v>920</v>
      </c>
      <c r="K370" s="323"/>
      <c r="L370" s="324"/>
    </row>
    <row r="371" spans="1:12" ht="20.25" customHeight="1" x14ac:dyDescent="0.2">
      <c r="A371" s="114">
        <v>367</v>
      </c>
      <c r="B371" s="1" t="s">
        <v>3216</v>
      </c>
      <c r="C371" s="6" t="s">
        <v>3217</v>
      </c>
      <c r="D371" s="7" t="s">
        <v>3218</v>
      </c>
      <c r="E371" s="2" t="s">
        <v>3212</v>
      </c>
      <c r="F371" s="99" t="s">
        <v>14</v>
      </c>
      <c r="G371" s="121">
        <v>100</v>
      </c>
      <c r="H371" s="122">
        <f t="shared" si="11"/>
        <v>400</v>
      </c>
      <c r="I371" s="450">
        <f>+(1320+960)/4</f>
        <v>570</v>
      </c>
      <c r="J371" s="491">
        <f t="shared" si="12"/>
        <v>970</v>
      </c>
      <c r="K371" s="323"/>
      <c r="L371" s="324"/>
    </row>
    <row r="372" spans="1:12" ht="20.25" customHeight="1" thickBot="1" x14ac:dyDescent="0.25">
      <c r="A372" s="158">
        <v>368</v>
      </c>
      <c r="B372" s="159" t="s">
        <v>3219</v>
      </c>
      <c r="C372" s="160" t="s">
        <v>3220</v>
      </c>
      <c r="D372" s="161" t="s">
        <v>3221</v>
      </c>
      <c r="E372" s="162" t="s">
        <v>3212</v>
      </c>
      <c r="F372" s="163" t="s">
        <v>17</v>
      </c>
      <c r="G372" s="164">
        <v>100</v>
      </c>
      <c r="H372" s="153">
        <f t="shared" si="11"/>
        <v>400</v>
      </c>
      <c r="I372" s="451">
        <f>+(1320+960)/4</f>
        <v>570</v>
      </c>
      <c r="J372" s="492">
        <f t="shared" si="12"/>
        <v>970</v>
      </c>
      <c r="K372" s="325"/>
      <c r="L372" s="326"/>
    </row>
    <row r="373" spans="1:12" ht="20.25" customHeight="1" x14ac:dyDescent="0.2">
      <c r="A373" s="108">
        <v>369</v>
      </c>
      <c r="B373" s="171" t="s">
        <v>3222</v>
      </c>
      <c r="C373" s="110" t="s">
        <v>3223</v>
      </c>
      <c r="D373" s="111" t="s">
        <v>3224</v>
      </c>
      <c r="E373" s="112" t="s">
        <v>3225</v>
      </c>
      <c r="F373" s="113" t="s">
        <v>8</v>
      </c>
      <c r="G373" s="119">
        <v>150</v>
      </c>
      <c r="H373" s="120">
        <f t="shared" si="11"/>
        <v>350</v>
      </c>
      <c r="I373" s="452">
        <f>+(845+1085)/4</f>
        <v>482.5</v>
      </c>
      <c r="J373" s="490">
        <f t="shared" si="12"/>
        <v>832.5</v>
      </c>
      <c r="K373" s="327"/>
      <c r="L373" s="328"/>
    </row>
    <row r="374" spans="1:12" ht="20.25" customHeight="1" x14ac:dyDescent="0.2">
      <c r="A374" s="114">
        <v>370</v>
      </c>
      <c r="B374" s="1" t="s">
        <v>3226</v>
      </c>
      <c r="C374" s="6" t="s">
        <v>3227</v>
      </c>
      <c r="D374" s="7" t="s">
        <v>3228</v>
      </c>
      <c r="E374" s="2" t="s">
        <v>3225</v>
      </c>
      <c r="F374" s="99" t="s">
        <v>11</v>
      </c>
      <c r="G374" s="121">
        <v>150</v>
      </c>
      <c r="H374" s="122">
        <f t="shared" si="11"/>
        <v>350</v>
      </c>
      <c r="I374" s="450">
        <f>+(845+1085)/4</f>
        <v>482.5</v>
      </c>
      <c r="J374" s="491">
        <f t="shared" si="12"/>
        <v>832.5</v>
      </c>
      <c r="K374" s="323"/>
      <c r="L374" s="324"/>
    </row>
    <row r="375" spans="1:12" ht="20.25" customHeight="1" x14ac:dyDescent="0.2">
      <c r="A375" s="114">
        <v>371</v>
      </c>
      <c r="B375" s="1" t="s">
        <v>3229</v>
      </c>
      <c r="C375" s="6" t="s">
        <v>3004</v>
      </c>
      <c r="D375" s="7" t="s">
        <v>3230</v>
      </c>
      <c r="E375" s="2" t="s">
        <v>3225</v>
      </c>
      <c r="F375" s="99" t="s">
        <v>14</v>
      </c>
      <c r="G375" s="121">
        <v>150</v>
      </c>
      <c r="H375" s="122">
        <f t="shared" si="11"/>
        <v>350</v>
      </c>
      <c r="I375" s="450">
        <f>+(845+1085)/4</f>
        <v>482.5</v>
      </c>
      <c r="J375" s="491">
        <f t="shared" si="12"/>
        <v>832.5</v>
      </c>
      <c r="K375" s="323"/>
      <c r="L375" s="324"/>
    </row>
    <row r="376" spans="1:12" ht="20.25" customHeight="1" thickBot="1" x14ac:dyDescent="0.25">
      <c r="A376" s="158">
        <v>372</v>
      </c>
      <c r="B376" s="159" t="s">
        <v>3231</v>
      </c>
      <c r="C376" s="160" t="s">
        <v>3232</v>
      </c>
      <c r="D376" s="161" t="s">
        <v>3233</v>
      </c>
      <c r="E376" s="162" t="s">
        <v>3225</v>
      </c>
      <c r="F376" s="163" t="s">
        <v>17</v>
      </c>
      <c r="G376" s="164">
        <v>50</v>
      </c>
      <c r="H376" s="153">
        <f t="shared" si="11"/>
        <v>450</v>
      </c>
      <c r="I376" s="451">
        <f>+(845+1085)/4</f>
        <v>482.5</v>
      </c>
      <c r="J376" s="492">
        <f t="shared" si="12"/>
        <v>932.5</v>
      </c>
      <c r="K376" s="325"/>
      <c r="L376" s="326"/>
    </row>
    <row r="377" spans="1:12" ht="20.25" customHeight="1" x14ac:dyDescent="0.2">
      <c r="A377" s="108">
        <v>373</v>
      </c>
      <c r="B377" s="171" t="s">
        <v>3234</v>
      </c>
      <c r="C377" s="110" t="s">
        <v>2196</v>
      </c>
      <c r="D377" s="111" t="s">
        <v>3235</v>
      </c>
      <c r="E377" s="112" t="s">
        <v>3236</v>
      </c>
      <c r="F377" s="113" t="s">
        <v>8</v>
      </c>
      <c r="G377" s="119">
        <v>50</v>
      </c>
      <c r="H377" s="120">
        <f t="shared" si="11"/>
        <v>450</v>
      </c>
      <c r="I377" s="452">
        <f>+(1696+995)/4</f>
        <v>672.75</v>
      </c>
      <c r="J377" s="490">
        <f t="shared" si="12"/>
        <v>1122.75</v>
      </c>
      <c r="K377" s="327"/>
      <c r="L377" s="328"/>
    </row>
    <row r="378" spans="1:12" ht="20.25" customHeight="1" x14ac:dyDescent="0.2">
      <c r="A378" s="114">
        <v>374</v>
      </c>
      <c r="B378" s="1" t="s">
        <v>3237</v>
      </c>
      <c r="C378" s="6" t="s">
        <v>3238</v>
      </c>
      <c r="D378" s="7" t="s">
        <v>3239</v>
      </c>
      <c r="E378" s="2" t="s">
        <v>3236</v>
      </c>
      <c r="F378" s="99" t="s">
        <v>11</v>
      </c>
      <c r="G378" s="121">
        <v>100</v>
      </c>
      <c r="H378" s="122">
        <f t="shared" si="11"/>
        <v>400</v>
      </c>
      <c r="I378" s="450">
        <f>+(1696+995)/4</f>
        <v>672.75</v>
      </c>
      <c r="J378" s="491">
        <f t="shared" si="12"/>
        <v>1072.75</v>
      </c>
      <c r="K378" s="323"/>
      <c r="L378" s="324"/>
    </row>
    <row r="379" spans="1:12" s="37" customFormat="1" ht="20.25" customHeight="1" x14ac:dyDescent="0.2">
      <c r="A379" s="116">
        <v>375</v>
      </c>
      <c r="B379" s="46" t="s">
        <v>3240</v>
      </c>
      <c r="C379" s="29" t="s">
        <v>3241</v>
      </c>
      <c r="D379" s="28" t="s">
        <v>3242</v>
      </c>
      <c r="E379" s="30" t="s">
        <v>3236</v>
      </c>
      <c r="F379" s="73" t="s">
        <v>14</v>
      </c>
      <c r="G379" s="126">
        <v>100</v>
      </c>
      <c r="H379" s="127">
        <f t="shared" si="11"/>
        <v>400</v>
      </c>
      <c r="I379" s="294">
        <f>+(1696+995)/4</f>
        <v>672.75</v>
      </c>
      <c r="J379" s="497">
        <f t="shared" si="12"/>
        <v>1072.75</v>
      </c>
      <c r="K379" s="333" t="s">
        <v>4996</v>
      </c>
      <c r="L379" s="334">
        <v>6280</v>
      </c>
    </row>
    <row r="380" spans="1:12" ht="20.25" customHeight="1" thickBot="1" x14ac:dyDescent="0.25">
      <c r="A380" s="158">
        <v>376</v>
      </c>
      <c r="B380" s="159" t="s">
        <v>3243</v>
      </c>
      <c r="C380" s="160" t="s">
        <v>3244</v>
      </c>
      <c r="D380" s="161" t="s">
        <v>3245</v>
      </c>
      <c r="E380" s="162" t="s">
        <v>3236</v>
      </c>
      <c r="F380" s="163" t="s">
        <v>17</v>
      </c>
      <c r="G380" s="164">
        <v>150</v>
      </c>
      <c r="H380" s="153">
        <f t="shared" si="11"/>
        <v>350</v>
      </c>
      <c r="I380" s="451">
        <f>+(1696+995)/4</f>
        <v>672.75</v>
      </c>
      <c r="J380" s="492">
        <f t="shared" si="12"/>
        <v>1022.75</v>
      </c>
      <c r="K380" s="325"/>
      <c r="L380" s="326"/>
    </row>
    <row r="381" spans="1:12" ht="20.25" customHeight="1" x14ac:dyDescent="0.2">
      <c r="A381" s="108">
        <v>377</v>
      </c>
      <c r="B381" s="171" t="s">
        <v>3246</v>
      </c>
      <c r="C381" s="110" t="s">
        <v>3247</v>
      </c>
      <c r="D381" s="111" t="s">
        <v>3248</v>
      </c>
      <c r="E381" s="112" t="s">
        <v>3249</v>
      </c>
      <c r="F381" s="113" t="s">
        <v>8</v>
      </c>
      <c r="G381" s="119">
        <v>100</v>
      </c>
      <c r="H381" s="120">
        <f t="shared" si="11"/>
        <v>400</v>
      </c>
      <c r="I381" s="452">
        <f>+(960+510)/4</f>
        <v>367.5</v>
      </c>
      <c r="J381" s="490">
        <f t="shared" si="12"/>
        <v>767.5</v>
      </c>
      <c r="K381" s="327"/>
      <c r="L381" s="328"/>
    </row>
    <row r="382" spans="1:12" ht="20.25" customHeight="1" x14ac:dyDescent="0.2">
      <c r="A382" s="114">
        <v>378</v>
      </c>
      <c r="B382" s="1" t="s">
        <v>3250</v>
      </c>
      <c r="C382" s="6" t="s">
        <v>3251</v>
      </c>
      <c r="D382" s="7" t="s">
        <v>3252</v>
      </c>
      <c r="E382" s="2" t="s">
        <v>3249</v>
      </c>
      <c r="F382" s="99" t="s">
        <v>11</v>
      </c>
      <c r="G382" s="121">
        <v>100</v>
      </c>
      <c r="H382" s="122">
        <f t="shared" si="11"/>
        <v>400</v>
      </c>
      <c r="I382" s="450">
        <f>+(960+510)/4</f>
        <v>367.5</v>
      </c>
      <c r="J382" s="491">
        <f t="shared" si="12"/>
        <v>767.5</v>
      </c>
      <c r="K382" s="323"/>
      <c r="L382" s="324"/>
    </row>
    <row r="383" spans="1:12" ht="20.25" customHeight="1" x14ac:dyDescent="0.2">
      <c r="A383" s="114">
        <v>379</v>
      </c>
      <c r="B383" s="1" t="s">
        <v>3253</v>
      </c>
      <c r="C383" s="6" t="s">
        <v>3254</v>
      </c>
      <c r="D383" s="7" t="s">
        <v>3255</v>
      </c>
      <c r="E383" s="2" t="s">
        <v>3249</v>
      </c>
      <c r="F383" s="99" t="s">
        <v>14</v>
      </c>
      <c r="G383" s="121">
        <v>200</v>
      </c>
      <c r="H383" s="122">
        <f t="shared" si="11"/>
        <v>300</v>
      </c>
      <c r="I383" s="450">
        <f>+(960+510)/4</f>
        <v>367.5</v>
      </c>
      <c r="J383" s="491">
        <f t="shared" si="12"/>
        <v>667.5</v>
      </c>
      <c r="K383" s="323"/>
      <c r="L383" s="324"/>
    </row>
    <row r="384" spans="1:12" ht="20.25" customHeight="1" thickBot="1" x14ac:dyDescent="0.25">
      <c r="A384" s="158">
        <v>380</v>
      </c>
      <c r="B384" s="159" t="s">
        <v>3256</v>
      </c>
      <c r="C384" s="160" t="s">
        <v>3257</v>
      </c>
      <c r="D384" s="161" t="s">
        <v>3258</v>
      </c>
      <c r="E384" s="162" t="s">
        <v>3249</v>
      </c>
      <c r="F384" s="163" t="s">
        <v>17</v>
      </c>
      <c r="G384" s="164">
        <v>150</v>
      </c>
      <c r="H384" s="153">
        <f t="shared" si="11"/>
        <v>350</v>
      </c>
      <c r="I384" s="451">
        <f>+(960+510)/4</f>
        <v>367.5</v>
      </c>
      <c r="J384" s="492">
        <f t="shared" si="12"/>
        <v>717.5</v>
      </c>
      <c r="K384" s="325"/>
      <c r="L384" s="326"/>
    </row>
    <row r="385" spans="1:12" ht="20.25" customHeight="1" x14ac:dyDescent="0.2">
      <c r="A385" s="108">
        <v>381</v>
      </c>
      <c r="B385" s="171" t="s">
        <v>3259</v>
      </c>
      <c r="C385" s="110" t="s">
        <v>3260</v>
      </c>
      <c r="D385" s="111" t="s">
        <v>3261</v>
      </c>
      <c r="E385" s="112" t="s">
        <v>3262</v>
      </c>
      <c r="F385" s="113" t="s">
        <v>8</v>
      </c>
      <c r="G385" s="119">
        <v>150</v>
      </c>
      <c r="H385" s="120">
        <f t="shared" si="11"/>
        <v>350</v>
      </c>
      <c r="I385" s="452">
        <f>+(1250+965)/4</f>
        <v>553.75</v>
      </c>
      <c r="J385" s="490">
        <f t="shared" si="12"/>
        <v>903.75</v>
      </c>
      <c r="K385" s="327"/>
      <c r="L385" s="328"/>
    </row>
    <row r="386" spans="1:12" ht="20.25" customHeight="1" x14ac:dyDescent="0.2">
      <c r="A386" s="114">
        <v>382</v>
      </c>
      <c r="B386" s="1" t="s">
        <v>3263</v>
      </c>
      <c r="C386" s="6" t="s">
        <v>3264</v>
      </c>
      <c r="D386" s="7" t="s">
        <v>3265</v>
      </c>
      <c r="E386" s="2" t="s">
        <v>3262</v>
      </c>
      <c r="F386" s="99" t="s">
        <v>11</v>
      </c>
      <c r="G386" s="121">
        <v>450</v>
      </c>
      <c r="H386" s="122">
        <f t="shared" si="11"/>
        <v>50</v>
      </c>
      <c r="I386" s="450">
        <f>+(1250+965)/4</f>
        <v>553.75</v>
      </c>
      <c r="J386" s="491">
        <f t="shared" si="12"/>
        <v>603.75</v>
      </c>
      <c r="K386" s="323"/>
      <c r="L386" s="324"/>
    </row>
    <row r="387" spans="1:12" ht="20.25" customHeight="1" x14ac:dyDescent="0.2">
      <c r="A387" s="114">
        <v>383</v>
      </c>
      <c r="B387" s="1" t="s">
        <v>3266</v>
      </c>
      <c r="C387" s="6" t="s">
        <v>3267</v>
      </c>
      <c r="D387" s="7" t="s">
        <v>3268</v>
      </c>
      <c r="E387" s="2" t="s">
        <v>3262</v>
      </c>
      <c r="F387" s="99" t="s">
        <v>14</v>
      </c>
      <c r="G387" s="121">
        <v>150</v>
      </c>
      <c r="H387" s="122">
        <f t="shared" si="11"/>
        <v>350</v>
      </c>
      <c r="I387" s="450">
        <f>+(1250+965)/4</f>
        <v>553.75</v>
      </c>
      <c r="J387" s="491">
        <f t="shared" si="12"/>
        <v>903.75</v>
      </c>
      <c r="K387" s="323"/>
      <c r="L387" s="324"/>
    </row>
    <row r="388" spans="1:12" ht="20.25" customHeight="1" thickBot="1" x14ac:dyDescent="0.25">
      <c r="A388" s="158">
        <v>384</v>
      </c>
      <c r="B388" s="159" t="s">
        <v>3269</v>
      </c>
      <c r="C388" s="160" t="s">
        <v>3270</v>
      </c>
      <c r="D388" s="161" t="s">
        <v>3271</v>
      </c>
      <c r="E388" s="162" t="s">
        <v>3262</v>
      </c>
      <c r="F388" s="163" t="s">
        <v>17</v>
      </c>
      <c r="G388" s="164">
        <v>150</v>
      </c>
      <c r="H388" s="153">
        <f t="shared" ref="H388:H451" si="13">500-G388</f>
        <v>350</v>
      </c>
      <c r="I388" s="451">
        <f>+(1250+965)/4</f>
        <v>553.75</v>
      </c>
      <c r="J388" s="492">
        <f t="shared" si="12"/>
        <v>903.75</v>
      </c>
      <c r="K388" s="325"/>
      <c r="L388" s="326"/>
    </row>
    <row r="389" spans="1:12" ht="20.25" customHeight="1" x14ac:dyDescent="0.2">
      <c r="A389" s="108">
        <v>385</v>
      </c>
      <c r="B389" s="171" t="s">
        <v>3272</v>
      </c>
      <c r="C389" s="110" t="s">
        <v>3273</v>
      </c>
      <c r="D389" s="111" t="s">
        <v>3274</v>
      </c>
      <c r="E389" s="112" t="s">
        <v>3275</v>
      </c>
      <c r="F389" s="113" t="s">
        <v>8</v>
      </c>
      <c r="G389" s="119">
        <v>50</v>
      </c>
      <c r="H389" s="120">
        <f t="shared" si="13"/>
        <v>450</v>
      </c>
      <c r="I389" s="452">
        <f>+(460+255)/4</f>
        <v>178.75</v>
      </c>
      <c r="J389" s="490">
        <f t="shared" si="12"/>
        <v>628.75</v>
      </c>
      <c r="K389" s="327"/>
      <c r="L389" s="328"/>
    </row>
    <row r="390" spans="1:12" ht="20.25" customHeight="1" x14ac:dyDescent="0.2">
      <c r="A390" s="114">
        <v>386</v>
      </c>
      <c r="B390" s="1" t="s">
        <v>3276</v>
      </c>
      <c r="C390" s="6" t="s">
        <v>2397</v>
      </c>
      <c r="D390" s="7" t="s">
        <v>3277</v>
      </c>
      <c r="E390" s="2" t="s">
        <v>3275</v>
      </c>
      <c r="F390" s="99" t="s">
        <v>11</v>
      </c>
      <c r="G390" s="121">
        <v>50</v>
      </c>
      <c r="H390" s="122">
        <f t="shared" si="13"/>
        <v>450</v>
      </c>
      <c r="I390" s="450">
        <f>+(460+255)/4</f>
        <v>178.75</v>
      </c>
      <c r="J390" s="491">
        <f t="shared" si="12"/>
        <v>628.75</v>
      </c>
      <c r="K390" s="323"/>
      <c r="L390" s="324"/>
    </row>
    <row r="391" spans="1:12" ht="20.25" customHeight="1" x14ac:dyDescent="0.2">
      <c r="A391" s="114">
        <v>387</v>
      </c>
      <c r="B391" s="1" t="s">
        <v>3278</v>
      </c>
      <c r="C391" s="6" t="s">
        <v>2309</v>
      </c>
      <c r="D391" s="7" t="s">
        <v>3279</v>
      </c>
      <c r="E391" s="2" t="s">
        <v>3275</v>
      </c>
      <c r="F391" s="99" t="s">
        <v>14</v>
      </c>
      <c r="G391" s="121">
        <v>50</v>
      </c>
      <c r="H391" s="122">
        <f t="shared" si="13"/>
        <v>450</v>
      </c>
      <c r="I391" s="450">
        <f>+(460+255)/4</f>
        <v>178.75</v>
      </c>
      <c r="J391" s="491">
        <f t="shared" si="12"/>
        <v>628.75</v>
      </c>
      <c r="K391" s="323"/>
      <c r="L391" s="324"/>
    </row>
    <row r="392" spans="1:12" ht="20.25" customHeight="1" thickBot="1" x14ac:dyDescent="0.25">
      <c r="A392" s="158">
        <v>388</v>
      </c>
      <c r="B392" s="159" t="s">
        <v>3280</v>
      </c>
      <c r="C392" s="160" t="s">
        <v>3281</v>
      </c>
      <c r="D392" s="161" t="s">
        <v>3282</v>
      </c>
      <c r="E392" s="162" t="s">
        <v>3275</v>
      </c>
      <c r="F392" s="163" t="s">
        <v>17</v>
      </c>
      <c r="G392" s="164">
        <v>50</v>
      </c>
      <c r="H392" s="153">
        <f t="shared" si="13"/>
        <v>450</v>
      </c>
      <c r="I392" s="451">
        <f>+(460+255)/4</f>
        <v>178.75</v>
      </c>
      <c r="J392" s="492">
        <f t="shared" si="12"/>
        <v>628.75</v>
      </c>
      <c r="K392" s="325"/>
      <c r="L392" s="326"/>
    </row>
    <row r="393" spans="1:12" ht="20.25" customHeight="1" x14ac:dyDescent="0.2">
      <c r="A393" s="108">
        <v>389</v>
      </c>
      <c r="B393" s="171" t="s">
        <v>3283</v>
      </c>
      <c r="C393" s="110" t="s">
        <v>3284</v>
      </c>
      <c r="D393" s="111" t="s">
        <v>3285</v>
      </c>
      <c r="E393" s="112" t="s">
        <v>3286</v>
      </c>
      <c r="F393" s="113" t="s">
        <v>8</v>
      </c>
      <c r="G393" s="119">
        <v>100</v>
      </c>
      <c r="H393" s="120">
        <f t="shared" si="13"/>
        <v>400</v>
      </c>
      <c r="I393" s="452">
        <f>+(300+85)/4</f>
        <v>96.25</v>
      </c>
      <c r="J393" s="490">
        <f t="shared" si="12"/>
        <v>496.25</v>
      </c>
      <c r="K393" s="327"/>
      <c r="L393" s="328"/>
    </row>
    <row r="394" spans="1:12" ht="20.25" customHeight="1" x14ac:dyDescent="0.2">
      <c r="A394" s="114">
        <v>390</v>
      </c>
      <c r="B394" s="1" t="s">
        <v>3287</v>
      </c>
      <c r="C394" s="6" t="s">
        <v>3288</v>
      </c>
      <c r="D394" s="7" t="s">
        <v>3289</v>
      </c>
      <c r="E394" s="2" t="s">
        <v>3286</v>
      </c>
      <c r="F394" s="99" t="s">
        <v>11</v>
      </c>
      <c r="G394" s="121">
        <v>150</v>
      </c>
      <c r="H394" s="122">
        <f t="shared" si="13"/>
        <v>350</v>
      </c>
      <c r="I394" s="450">
        <f>+(300+85)/4</f>
        <v>96.25</v>
      </c>
      <c r="J394" s="491">
        <f t="shared" si="12"/>
        <v>446.25</v>
      </c>
      <c r="K394" s="323"/>
      <c r="L394" s="324"/>
    </row>
    <row r="395" spans="1:12" ht="20.25" customHeight="1" x14ac:dyDescent="0.2">
      <c r="A395" s="114">
        <v>391</v>
      </c>
      <c r="B395" s="1" t="s">
        <v>3290</v>
      </c>
      <c r="C395" s="6" t="s">
        <v>3291</v>
      </c>
      <c r="D395" s="7" t="s">
        <v>3292</v>
      </c>
      <c r="E395" s="2" t="s">
        <v>3286</v>
      </c>
      <c r="F395" s="99" t="s">
        <v>14</v>
      </c>
      <c r="G395" s="121">
        <v>100</v>
      </c>
      <c r="H395" s="122">
        <f t="shared" si="13"/>
        <v>400</v>
      </c>
      <c r="I395" s="450">
        <f>+(300+85)/4</f>
        <v>96.25</v>
      </c>
      <c r="J395" s="491">
        <f t="shared" si="12"/>
        <v>496.25</v>
      </c>
      <c r="K395" s="323"/>
      <c r="L395" s="324"/>
    </row>
    <row r="396" spans="1:12" ht="20.25" customHeight="1" thickBot="1" x14ac:dyDescent="0.25">
      <c r="A396" s="158">
        <v>392</v>
      </c>
      <c r="B396" s="159" t="s">
        <v>3293</v>
      </c>
      <c r="C396" s="160" t="s">
        <v>2589</v>
      </c>
      <c r="D396" s="161" t="s">
        <v>84</v>
      </c>
      <c r="E396" s="162" t="s">
        <v>3286</v>
      </c>
      <c r="F396" s="163" t="s">
        <v>17</v>
      </c>
      <c r="G396" s="164">
        <v>150</v>
      </c>
      <c r="H396" s="153">
        <f t="shared" si="13"/>
        <v>350</v>
      </c>
      <c r="I396" s="451">
        <f>+(300+85)/4</f>
        <v>96.25</v>
      </c>
      <c r="J396" s="492">
        <f t="shared" si="12"/>
        <v>446.25</v>
      </c>
      <c r="K396" s="325"/>
      <c r="L396" s="326"/>
    </row>
    <row r="397" spans="1:12" ht="20.25" customHeight="1" x14ac:dyDescent="0.2">
      <c r="A397" s="108">
        <v>393</v>
      </c>
      <c r="B397" s="171" t="s">
        <v>3294</v>
      </c>
      <c r="C397" s="110" t="s">
        <v>3295</v>
      </c>
      <c r="D397" s="111" t="s">
        <v>3296</v>
      </c>
      <c r="E397" s="112" t="s">
        <v>3297</v>
      </c>
      <c r="F397" s="113" t="s">
        <v>8</v>
      </c>
      <c r="G397" s="119">
        <v>100</v>
      </c>
      <c r="H397" s="120">
        <f t="shared" si="13"/>
        <v>400</v>
      </c>
      <c r="I397" s="452">
        <f>+(1030+1105)/4</f>
        <v>533.75</v>
      </c>
      <c r="J397" s="490">
        <f t="shared" si="12"/>
        <v>933.75</v>
      </c>
      <c r="K397" s="327"/>
      <c r="L397" s="328"/>
    </row>
    <row r="398" spans="1:12" ht="20.25" customHeight="1" x14ac:dyDescent="0.2">
      <c r="A398" s="114">
        <v>394</v>
      </c>
      <c r="B398" s="1" t="s">
        <v>3298</v>
      </c>
      <c r="C398" s="6" t="s">
        <v>3299</v>
      </c>
      <c r="D398" s="7" t="s">
        <v>3300</v>
      </c>
      <c r="E398" s="2" t="s">
        <v>3297</v>
      </c>
      <c r="F398" s="99" t="s">
        <v>11</v>
      </c>
      <c r="G398" s="121">
        <v>50</v>
      </c>
      <c r="H398" s="122">
        <f t="shared" si="13"/>
        <v>450</v>
      </c>
      <c r="I398" s="450">
        <f>+(1030+1105)/4</f>
        <v>533.75</v>
      </c>
      <c r="J398" s="491">
        <f t="shared" si="12"/>
        <v>983.75</v>
      </c>
      <c r="K398" s="323"/>
      <c r="L398" s="324"/>
    </row>
    <row r="399" spans="1:12" ht="20.25" customHeight="1" x14ac:dyDescent="0.2">
      <c r="A399" s="114">
        <v>395</v>
      </c>
      <c r="B399" s="1" t="s">
        <v>3301</v>
      </c>
      <c r="C399" s="6" t="s">
        <v>3302</v>
      </c>
      <c r="D399" s="7" t="s">
        <v>3303</v>
      </c>
      <c r="E399" s="2" t="s">
        <v>3297</v>
      </c>
      <c r="F399" s="99" t="s">
        <v>14</v>
      </c>
      <c r="G399" s="121">
        <v>50</v>
      </c>
      <c r="H399" s="122">
        <f t="shared" si="13"/>
        <v>450</v>
      </c>
      <c r="I399" s="450">
        <f>+(1030+1105)/4</f>
        <v>533.75</v>
      </c>
      <c r="J399" s="491">
        <f t="shared" si="12"/>
        <v>983.75</v>
      </c>
      <c r="K399" s="323"/>
      <c r="L399" s="324"/>
    </row>
    <row r="400" spans="1:12" ht="20.25" customHeight="1" thickBot="1" x14ac:dyDescent="0.25">
      <c r="A400" s="158">
        <v>396</v>
      </c>
      <c r="B400" s="159" t="s">
        <v>3304</v>
      </c>
      <c r="C400" s="160" t="s">
        <v>3305</v>
      </c>
      <c r="D400" s="161" t="s">
        <v>3306</v>
      </c>
      <c r="E400" s="162" t="s">
        <v>3297</v>
      </c>
      <c r="F400" s="163" t="s">
        <v>17</v>
      </c>
      <c r="G400" s="164">
        <v>150</v>
      </c>
      <c r="H400" s="153">
        <f t="shared" si="13"/>
        <v>350</v>
      </c>
      <c r="I400" s="451">
        <f>+(1030+1105)/4</f>
        <v>533.75</v>
      </c>
      <c r="J400" s="492">
        <f t="shared" si="12"/>
        <v>883.75</v>
      </c>
      <c r="K400" s="325"/>
      <c r="L400" s="326"/>
    </row>
    <row r="401" spans="1:12" ht="20.25" customHeight="1" x14ac:dyDescent="0.2">
      <c r="A401" s="108">
        <v>397</v>
      </c>
      <c r="B401" s="171" t="s">
        <v>3307</v>
      </c>
      <c r="C401" s="110" t="s">
        <v>3308</v>
      </c>
      <c r="D401" s="111" t="s">
        <v>3309</v>
      </c>
      <c r="E401" s="112" t="s">
        <v>3310</v>
      </c>
      <c r="F401" s="113" t="s">
        <v>8</v>
      </c>
      <c r="G401" s="119">
        <v>200</v>
      </c>
      <c r="H401" s="120">
        <f t="shared" si="13"/>
        <v>300</v>
      </c>
      <c r="I401" s="452">
        <f>+(910+1180)/4</f>
        <v>522.5</v>
      </c>
      <c r="J401" s="490">
        <f t="shared" ref="J401:J464" si="14">SUM(H401:I401)</f>
        <v>822.5</v>
      </c>
      <c r="K401" s="327"/>
      <c r="L401" s="328"/>
    </row>
    <row r="402" spans="1:12" ht="20.25" customHeight="1" x14ac:dyDescent="0.2">
      <c r="A402" s="114">
        <v>398</v>
      </c>
      <c r="B402" s="1" t="s">
        <v>3311</v>
      </c>
      <c r="C402" s="6" t="s">
        <v>3312</v>
      </c>
      <c r="D402" s="7" t="s">
        <v>3313</v>
      </c>
      <c r="E402" s="2" t="s">
        <v>3310</v>
      </c>
      <c r="F402" s="99" t="s">
        <v>11</v>
      </c>
      <c r="G402" s="121">
        <v>150</v>
      </c>
      <c r="H402" s="122">
        <f t="shared" si="13"/>
        <v>350</v>
      </c>
      <c r="I402" s="450">
        <f>+(910+1180)/4</f>
        <v>522.5</v>
      </c>
      <c r="J402" s="491">
        <f t="shared" si="14"/>
        <v>872.5</v>
      </c>
      <c r="K402" s="323"/>
      <c r="L402" s="324"/>
    </row>
    <row r="403" spans="1:12" ht="20.25" customHeight="1" x14ac:dyDescent="0.2">
      <c r="A403" s="114">
        <v>399</v>
      </c>
      <c r="B403" s="1" t="s">
        <v>3314</v>
      </c>
      <c r="C403" s="6" t="s">
        <v>2190</v>
      </c>
      <c r="D403" s="7" t="s">
        <v>3315</v>
      </c>
      <c r="E403" s="2" t="s">
        <v>3310</v>
      </c>
      <c r="F403" s="99" t="s">
        <v>14</v>
      </c>
      <c r="G403" s="121">
        <v>150</v>
      </c>
      <c r="H403" s="122">
        <f t="shared" si="13"/>
        <v>350</v>
      </c>
      <c r="I403" s="450">
        <f>+(910+1180)/4</f>
        <v>522.5</v>
      </c>
      <c r="J403" s="491">
        <f t="shared" si="14"/>
        <v>872.5</v>
      </c>
      <c r="K403" s="323"/>
      <c r="L403" s="324"/>
    </row>
    <row r="404" spans="1:12" ht="20.25" customHeight="1" thickBot="1" x14ac:dyDescent="0.25">
      <c r="A404" s="158">
        <v>400</v>
      </c>
      <c r="B404" s="159" t="s">
        <v>3316</v>
      </c>
      <c r="C404" s="160" t="s">
        <v>3317</v>
      </c>
      <c r="D404" s="161" t="s">
        <v>3318</v>
      </c>
      <c r="E404" s="162" t="s">
        <v>3310</v>
      </c>
      <c r="F404" s="163" t="s">
        <v>17</v>
      </c>
      <c r="G404" s="164">
        <v>150</v>
      </c>
      <c r="H404" s="153">
        <f t="shared" si="13"/>
        <v>350</v>
      </c>
      <c r="I404" s="451">
        <f>+(910+1180)/4</f>
        <v>522.5</v>
      </c>
      <c r="J404" s="492">
        <f t="shared" si="14"/>
        <v>872.5</v>
      </c>
      <c r="K404" s="325"/>
      <c r="L404" s="326"/>
    </row>
    <row r="405" spans="1:12" ht="20.25" customHeight="1" x14ac:dyDescent="0.2">
      <c r="A405" s="108">
        <v>401</v>
      </c>
      <c r="B405" s="171" t="s">
        <v>3319</v>
      </c>
      <c r="C405" s="110" t="s">
        <v>3320</v>
      </c>
      <c r="D405" s="111" t="s">
        <v>3321</v>
      </c>
      <c r="E405" s="112" t="s">
        <v>3322</v>
      </c>
      <c r="F405" s="113" t="s">
        <v>8</v>
      </c>
      <c r="G405" s="119">
        <v>50</v>
      </c>
      <c r="H405" s="120">
        <f t="shared" si="13"/>
        <v>450</v>
      </c>
      <c r="I405" s="452">
        <f>+(425+385)/4</f>
        <v>202.5</v>
      </c>
      <c r="J405" s="490">
        <f t="shared" si="14"/>
        <v>652.5</v>
      </c>
      <c r="K405" s="327"/>
      <c r="L405" s="328"/>
    </row>
    <row r="406" spans="1:12" ht="20.25" customHeight="1" x14ac:dyDescent="0.2">
      <c r="A406" s="114">
        <v>402</v>
      </c>
      <c r="B406" s="1" t="s">
        <v>3323</v>
      </c>
      <c r="C406" s="6" t="s">
        <v>3324</v>
      </c>
      <c r="D406" s="7" t="s">
        <v>3325</v>
      </c>
      <c r="E406" s="2" t="s">
        <v>3322</v>
      </c>
      <c r="F406" s="99" t="s">
        <v>11</v>
      </c>
      <c r="G406" s="121">
        <v>50</v>
      </c>
      <c r="H406" s="122">
        <f t="shared" si="13"/>
        <v>450</v>
      </c>
      <c r="I406" s="450">
        <f>+(425+385)/4</f>
        <v>202.5</v>
      </c>
      <c r="J406" s="491">
        <f t="shared" si="14"/>
        <v>652.5</v>
      </c>
      <c r="K406" s="323"/>
      <c r="L406" s="324"/>
    </row>
    <row r="407" spans="1:12" ht="20.25" customHeight="1" x14ac:dyDescent="0.2">
      <c r="A407" s="114">
        <v>403</v>
      </c>
      <c r="B407" s="1" t="s">
        <v>3326</v>
      </c>
      <c r="C407" s="6" t="s">
        <v>3327</v>
      </c>
      <c r="D407" s="7" t="s">
        <v>3328</v>
      </c>
      <c r="E407" s="2" t="s">
        <v>3322</v>
      </c>
      <c r="F407" s="99" t="s">
        <v>14</v>
      </c>
      <c r="G407" s="121">
        <v>100</v>
      </c>
      <c r="H407" s="122">
        <f t="shared" si="13"/>
        <v>400</v>
      </c>
      <c r="I407" s="450">
        <f>+(425+385)/4</f>
        <v>202.5</v>
      </c>
      <c r="J407" s="491">
        <f t="shared" si="14"/>
        <v>602.5</v>
      </c>
      <c r="K407" s="323"/>
      <c r="L407" s="324"/>
    </row>
    <row r="408" spans="1:12" ht="20.25" customHeight="1" thickBot="1" x14ac:dyDescent="0.25">
      <c r="A408" s="158">
        <v>404</v>
      </c>
      <c r="B408" s="159" t="s">
        <v>3329</v>
      </c>
      <c r="C408" s="160" t="s">
        <v>2263</v>
      </c>
      <c r="D408" s="161" t="s">
        <v>3330</v>
      </c>
      <c r="E408" s="162" t="s">
        <v>3322</v>
      </c>
      <c r="F408" s="163" t="s">
        <v>17</v>
      </c>
      <c r="G408" s="164">
        <v>50</v>
      </c>
      <c r="H408" s="153">
        <f t="shared" si="13"/>
        <v>450</v>
      </c>
      <c r="I408" s="451">
        <f>+(425+385)/4</f>
        <v>202.5</v>
      </c>
      <c r="J408" s="492">
        <f t="shared" si="14"/>
        <v>652.5</v>
      </c>
      <c r="K408" s="325"/>
      <c r="L408" s="326"/>
    </row>
    <row r="409" spans="1:12" ht="20.25" customHeight="1" x14ac:dyDescent="0.2">
      <c r="A409" s="108">
        <v>405</v>
      </c>
      <c r="B409" s="171" t="s">
        <v>3331</v>
      </c>
      <c r="C409" s="110" t="s">
        <v>2177</v>
      </c>
      <c r="D409" s="111" t="s">
        <v>3332</v>
      </c>
      <c r="E409" s="112" t="s">
        <v>3333</v>
      </c>
      <c r="F409" s="113" t="s">
        <v>8</v>
      </c>
      <c r="G409" s="119">
        <v>100</v>
      </c>
      <c r="H409" s="120">
        <f t="shared" si="13"/>
        <v>400</v>
      </c>
      <c r="I409" s="452">
        <f>+(985+835)/4</f>
        <v>455</v>
      </c>
      <c r="J409" s="490">
        <f t="shared" si="14"/>
        <v>855</v>
      </c>
      <c r="K409" s="327"/>
      <c r="L409" s="328"/>
    </row>
    <row r="410" spans="1:12" ht="20.25" customHeight="1" x14ac:dyDescent="0.2">
      <c r="A410" s="114">
        <v>406</v>
      </c>
      <c r="B410" s="1" t="s">
        <v>3334</v>
      </c>
      <c r="C410" s="6" t="s">
        <v>2313</v>
      </c>
      <c r="D410" s="7" t="s">
        <v>3335</v>
      </c>
      <c r="E410" s="2" t="s">
        <v>3333</v>
      </c>
      <c r="F410" s="99" t="s">
        <v>11</v>
      </c>
      <c r="G410" s="121">
        <v>100</v>
      </c>
      <c r="H410" s="122">
        <f t="shared" si="13"/>
        <v>400</v>
      </c>
      <c r="I410" s="450">
        <f>+(985+835)/4</f>
        <v>455</v>
      </c>
      <c r="J410" s="491">
        <f t="shared" si="14"/>
        <v>855</v>
      </c>
      <c r="K410" s="323"/>
      <c r="L410" s="324"/>
    </row>
    <row r="411" spans="1:12" ht="20.25" customHeight="1" x14ac:dyDescent="0.2">
      <c r="A411" s="114">
        <v>407</v>
      </c>
      <c r="B411" s="1" t="s">
        <v>3336</v>
      </c>
      <c r="C411" s="6" t="s">
        <v>2715</v>
      </c>
      <c r="D411" s="7" t="s">
        <v>3337</v>
      </c>
      <c r="E411" s="2" t="s">
        <v>3333</v>
      </c>
      <c r="F411" s="99" t="s">
        <v>14</v>
      </c>
      <c r="G411" s="121">
        <v>100</v>
      </c>
      <c r="H411" s="122">
        <f t="shared" si="13"/>
        <v>400</v>
      </c>
      <c r="I411" s="450">
        <f>+(985+835)/4</f>
        <v>455</v>
      </c>
      <c r="J411" s="491">
        <f t="shared" si="14"/>
        <v>855</v>
      </c>
      <c r="K411" s="323"/>
      <c r="L411" s="324"/>
    </row>
    <row r="412" spans="1:12" ht="20.25" customHeight="1" thickBot="1" x14ac:dyDescent="0.25">
      <c r="A412" s="158">
        <v>408</v>
      </c>
      <c r="B412" s="159" t="s">
        <v>3338</v>
      </c>
      <c r="C412" s="160" t="s">
        <v>3339</v>
      </c>
      <c r="D412" s="161" t="s">
        <v>3340</v>
      </c>
      <c r="E412" s="162" t="s">
        <v>3333</v>
      </c>
      <c r="F412" s="163" t="s">
        <v>17</v>
      </c>
      <c r="G412" s="164">
        <v>100</v>
      </c>
      <c r="H412" s="153">
        <f t="shared" si="13"/>
        <v>400</v>
      </c>
      <c r="I412" s="451">
        <f>+(985+835)/4</f>
        <v>455</v>
      </c>
      <c r="J412" s="492">
        <f t="shared" si="14"/>
        <v>855</v>
      </c>
      <c r="K412" s="325"/>
      <c r="L412" s="326"/>
    </row>
    <row r="413" spans="1:12" ht="20.25" customHeight="1" x14ac:dyDescent="0.2">
      <c r="A413" s="108">
        <v>409</v>
      </c>
      <c r="B413" s="171" t="s">
        <v>3341</v>
      </c>
      <c r="C413" s="110" t="s">
        <v>3342</v>
      </c>
      <c r="D413" s="111" t="s">
        <v>3343</v>
      </c>
      <c r="E413" s="112" t="s">
        <v>3344</v>
      </c>
      <c r="F413" s="113" t="s">
        <v>8</v>
      </c>
      <c r="G413" s="119">
        <v>50</v>
      </c>
      <c r="H413" s="120">
        <f t="shared" si="13"/>
        <v>450</v>
      </c>
      <c r="I413" s="452">
        <f>+(620+330)/4</f>
        <v>237.5</v>
      </c>
      <c r="J413" s="490">
        <f t="shared" si="14"/>
        <v>687.5</v>
      </c>
      <c r="K413" s="327"/>
      <c r="L413" s="328"/>
    </row>
    <row r="414" spans="1:12" ht="20.25" customHeight="1" x14ac:dyDescent="0.2">
      <c r="A414" s="114">
        <v>410</v>
      </c>
      <c r="B414" s="1" t="s">
        <v>3345</v>
      </c>
      <c r="C414" s="6" t="s">
        <v>2532</v>
      </c>
      <c r="D414" s="7" t="s">
        <v>3346</v>
      </c>
      <c r="E414" s="2" t="s">
        <v>3344</v>
      </c>
      <c r="F414" s="99" t="s">
        <v>11</v>
      </c>
      <c r="G414" s="121">
        <v>50</v>
      </c>
      <c r="H414" s="122">
        <f t="shared" si="13"/>
        <v>450</v>
      </c>
      <c r="I414" s="450">
        <f>+(620+330)/4</f>
        <v>237.5</v>
      </c>
      <c r="J414" s="491">
        <f t="shared" si="14"/>
        <v>687.5</v>
      </c>
      <c r="K414" s="323"/>
      <c r="L414" s="324"/>
    </row>
    <row r="415" spans="1:12" ht="20.25" customHeight="1" x14ac:dyDescent="0.2">
      <c r="A415" s="114">
        <v>411</v>
      </c>
      <c r="B415" s="1" t="s">
        <v>3347</v>
      </c>
      <c r="C415" s="6" t="s">
        <v>3348</v>
      </c>
      <c r="D415" s="7" t="s">
        <v>3349</v>
      </c>
      <c r="E415" s="2" t="s">
        <v>3344</v>
      </c>
      <c r="F415" s="99" t="s">
        <v>14</v>
      </c>
      <c r="G415" s="121">
        <v>50</v>
      </c>
      <c r="H415" s="122">
        <f t="shared" si="13"/>
        <v>450</v>
      </c>
      <c r="I415" s="450">
        <f>+(620+330)/4</f>
        <v>237.5</v>
      </c>
      <c r="J415" s="491">
        <f t="shared" si="14"/>
        <v>687.5</v>
      </c>
      <c r="K415" s="323"/>
      <c r="L415" s="324"/>
    </row>
    <row r="416" spans="1:12" ht="20.25" customHeight="1" thickBot="1" x14ac:dyDescent="0.25">
      <c r="A416" s="158">
        <v>412</v>
      </c>
      <c r="B416" s="159" t="s">
        <v>3350</v>
      </c>
      <c r="C416" s="160" t="s">
        <v>2519</v>
      </c>
      <c r="D416" s="161" t="s">
        <v>3351</v>
      </c>
      <c r="E416" s="162" t="s">
        <v>3344</v>
      </c>
      <c r="F416" s="163" t="s">
        <v>17</v>
      </c>
      <c r="G416" s="164">
        <v>50</v>
      </c>
      <c r="H416" s="153">
        <f t="shared" si="13"/>
        <v>450</v>
      </c>
      <c r="I416" s="451">
        <f>+(620+330)/4</f>
        <v>237.5</v>
      </c>
      <c r="J416" s="492">
        <f t="shared" si="14"/>
        <v>687.5</v>
      </c>
      <c r="K416" s="325"/>
      <c r="L416" s="326"/>
    </row>
    <row r="417" spans="1:12" ht="20.25" customHeight="1" x14ac:dyDescent="0.2">
      <c r="A417" s="108">
        <v>413</v>
      </c>
      <c r="B417" s="171" t="s">
        <v>3352</v>
      </c>
      <c r="C417" s="110" t="s">
        <v>3353</v>
      </c>
      <c r="D417" s="111" t="s">
        <v>3354</v>
      </c>
      <c r="E417" s="112" t="s">
        <v>3355</v>
      </c>
      <c r="F417" s="113" t="s">
        <v>8</v>
      </c>
      <c r="G417" s="119">
        <v>150</v>
      </c>
      <c r="H417" s="120">
        <f t="shared" si="13"/>
        <v>350</v>
      </c>
      <c r="I417" s="452">
        <f>+(925+835)/4</f>
        <v>440</v>
      </c>
      <c r="J417" s="490">
        <f t="shared" si="14"/>
        <v>790</v>
      </c>
      <c r="K417" s="327"/>
      <c r="L417" s="328"/>
    </row>
    <row r="418" spans="1:12" ht="20.25" customHeight="1" x14ac:dyDescent="0.2">
      <c r="A418" s="114">
        <v>414</v>
      </c>
      <c r="B418" s="1" t="s">
        <v>3356</v>
      </c>
      <c r="C418" s="6" t="s">
        <v>2284</v>
      </c>
      <c r="D418" s="7" t="s">
        <v>3354</v>
      </c>
      <c r="E418" s="2" t="s">
        <v>3355</v>
      </c>
      <c r="F418" s="99" t="s">
        <v>11</v>
      </c>
      <c r="G418" s="121">
        <v>150</v>
      </c>
      <c r="H418" s="122">
        <f t="shared" si="13"/>
        <v>350</v>
      </c>
      <c r="I418" s="450">
        <f>+(925+835)/4</f>
        <v>440</v>
      </c>
      <c r="J418" s="491">
        <f t="shared" si="14"/>
        <v>790</v>
      </c>
      <c r="K418" s="323"/>
      <c r="L418" s="324"/>
    </row>
    <row r="419" spans="1:12" ht="20.25" customHeight="1" x14ac:dyDescent="0.2">
      <c r="A419" s="114">
        <v>415</v>
      </c>
      <c r="B419" s="1" t="s">
        <v>3357</v>
      </c>
      <c r="C419" s="6" t="s">
        <v>3358</v>
      </c>
      <c r="D419" s="7" t="s">
        <v>3359</v>
      </c>
      <c r="E419" s="2" t="s">
        <v>3355</v>
      </c>
      <c r="F419" s="99" t="s">
        <v>14</v>
      </c>
      <c r="G419" s="121">
        <v>150</v>
      </c>
      <c r="H419" s="122">
        <f t="shared" si="13"/>
        <v>350</v>
      </c>
      <c r="I419" s="450">
        <f>+(925+835)/4</f>
        <v>440</v>
      </c>
      <c r="J419" s="491">
        <f t="shared" si="14"/>
        <v>790</v>
      </c>
      <c r="K419" s="323"/>
      <c r="L419" s="324"/>
    </row>
    <row r="420" spans="1:12" ht="20.25" customHeight="1" thickBot="1" x14ac:dyDescent="0.25">
      <c r="A420" s="158">
        <v>416</v>
      </c>
      <c r="B420" s="159" t="s">
        <v>3360</v>
      </c>
      <c r="C420" s="160" t="s">
        <v>3361</v>
      </c>
      <c r="D420" s="161" t="s">
        <v>3362</v>
      </c>
      <c r="E420" s="162" t="s">
        <v>3355</v>
      </c>
      <c r="F420" s="163" t="s">
        <v>17</v>
      </c>
      <c r="G420" s="164">
        <v>100</v>
      </c>
      <c r="H420" s="153">
        <f t="shared" si="13"/>
        <v>400</v>
      </c>
      <c r="I420" s="451">
        <f>+(925+835)/4</f>
        <v>440</v>
      </c>
      <c r="J420" s="492">
        <f t="shared" si="14"/>
        <v>840</v>
      </c>
      <c r="K420" s="325"/>
      <c r="L420" s="326"/>
    </row>
    <row r="421" spans="1:12" ht="20.25" customHeight="1" x14ac:dyDescent="0.2">
      <c r="A421" s="108">
        <v>417</v>
      </c>
      <c r="B421" s="171" t="s">
        <v>3363</v>
      </c>
      <c r="C421" s="110" t="s">
        <v>2387</v>
      </c>
      <c r="D421" s="111" t="s">
        <v>3364</v>
      </c>
      <c r="E421" s="112" t="s">
        <v>3365</v>
      </c>
      <c r="F421" s="113" t="s">
        <v>8</v>
      </c>
      <c r="G421" s="119">
        <v>100</v>
      </c>
      <c r="H421" s="120">
        <f t="shared" si="13"/>
        <v>400</v>
      </c>
      <c r="I421" s="452">
        <f>+(1235+980)/4</f>
        <v>553.75</v>
      </c>
      <c r="J421" s="490">
        <f t="shared" si="14"/>
        <v>953.75</v>
      </c>
      <c r="K421" s="327"/>
      <c r="L421" s="328"/>
    </row>
    <row r="422" spans="1:12" ht="20.25" customHeight="1" x14ac:dyDescent="0.2">
      <c r="A422" s="114">
        <v>418</v>
      </c>
      <c r="B422" s="1" t="s">
        <v>3366</v>
      </c>
      <c r="C422" s="6" t="s">
        <v>2174</v>
      </c>
      <c r="D422" s="7" t="s">
        <v>3367</v>
      </c>
      <c r="E422" s="2" t="s">
        <v>3365</v>
      </c>
      <c r="F422" s="99" t="s">
        <v>11</v>
      </c>
      <c r="G422" s="121">
        <v>100</v>
      </c>
      <c r="H422" s="122">
        <f t="shared" si="13"/>
        <v>400</v>
      </c>
      <c r="I422" s="450">
        <f>+(1235+980)/4</f>
        <v>553.75</v>
      </c>
      <c r="J422" s="491">
        <f t="shared" si="14"/>
        <v>953.75</v>
      </c>
      <c r="K422" s="323"/>
      <c r="L422" s="324"/>
    </row>
    <row r="423" spans="1:12" ht="20.25" customHeight="1" x14ac:dyDescent="0.2">
      <c r="A423" s="114">
        <v>419</v>
      </c>
      <c r="B423" s="1" t="s">
        <v>3368</v>
      </c>
      <c r="C423" s="6" t="s">
        <v>3369</v>
      </c>
      <c r="D423" s="7" t="s">
        <v>3370</v>
      </c>
      <c r="E423" s="2" t="s">
        <v>3365</v>
      </c>
      <c r="F423" s="99" t="s">
        <v>14</v>
      </c>
      <c r="G423" s="121">
        <v>150</v>
      </c>
      <c r="H423" s="122">
        <f t="shared" si="13"/>
        <v>350</v>
      </c>
      <c r="I423" s="450">
        <f>+(1235+980)/4</f>
        <v>553.75</v>
      </c>
      <c r="J423" s="491">
        <f t="shared" si="14"/>
        <v>903.75</v>
      </c>
      <c r="K423" s="323"/>
      <c r="L423" s="324"/>
    </row>
    <row r="424" spans="1:12" ht="20.25" customHeight="1" thickBot="1" x14ac:dyDescent="0.25">
      <c r="A424" s="158">
        <v>420</v>
      </c>
      <c r="B424" s="159" t="s">
        <v>3371</v>
      </c>
      <c r="C424" s="160" t="s">
        <v>3372</v>
      </c>
      <c r="D424" s="161" t="s">
        <v>3373</v>
      </c>
      <c r="E424" s="162" t="s">
        <v>3365</v>
      </c>
      <c r="F424" s="163" t="s">
        <v>17</v>
      </c>
      <c r="G424" s="164">
        <v>150</v>
      </c>
      <c r="H424" s="153">
        <f t="shared" si="13"/>
        <v>350</v>
      </c>
      <c r="I424" s="451">
        <f>+(1235+980)/4</f>
        <v>553.75</v>
      </c>
      <c r="J424" s="492">
        <f t="shared" si="14"/>
        <v>903.75</v>
      </c>
      <c r="K424" s="325"/>
      <c r="L424" s="326"/>
    </row>
    <row r="425" spans="1:12" ht="20.25" customHeight="1" x14ac:dyDescent="0.2">
      <c r="A425" s="108">
        <v>421</v>
      </c>
      <c r="B425" s="171" t="s">
        <v>3374</v>
      </c>
      <c r="C425" s="110" t="s">
        <v>3375</v>
      </c>
      <c r="D425" s="111" t="s">
        <v>3376</v>
      </c>
      <c r="E425" s="112" t="s">
        <v>3377</v>
      </c>
      <c r="F425" s="113" t="s">
        <v>8</v>
      </c>
      <c r="G425" s="119">
        <v>400</v>
      </c>
      <c r="H425" s="120">
        <f t="shared" si="13"/>
        <v>100</v>
      </c>
      <c r="I425" s="452">
        <f>+(550+480)/4</f>
        <v>257.5</v>
      </c>
      <c r="J425" s="490">
        <f t="shared" si="14"/>
        <v>357.5</v>
      </c>
      <c r="K425" s="327"/>
      <c r="L425" s="328"/>
    </row>
    <row r="426" spans="1:12" ht="20.25" customHeight="1" x14ac:dyDescent="0.2">
      <c r="A426" s="114">
        <v>422</v>
      </c>
      <c r="B426" s="1" t="s">
        <v>3378</v>
      </c>
      <c r="C426" s="6" t="s">
        <v>2339</v>
      </c>
      <c r="D426" s="7" t="s">
        <v>3379</v>
      </c>
      <c r="E426" s="2" t="s">
        <v>3377</v>
      </c>
      <c r="F426" s="99" t="s">
        <v>11</v>
      </c>
      <c r="G426" s="121">
        <v>100</v>
      </c>
      <c r="H426" s="122">
        <f t="shared" si="13"/>
        <v>400</v>
      </c>
      <c r="I426" s="450">
        <f>+(550+480)/4</f>
        <v>257.5</v>
      </c>
      <c r="J426" s="491">
        <f t="shared" si="14"/>
        <v>657.5</v>
      </c>
      <c r="K426" s="323"/>
      <c r="L426" s="324"/>
    </row>
    <row r="427" spans="1:12" ht="20.25" customHeight="1" x14ac:dyDescent="0.2">
      <c r="A427" s="114">
        <v>423</v>
      </c>
      <c r="B427" s="1" t="s">
        <v>3380</v>
      </c>
      <c r="C427" s="6" t="s">
        <v>3320</v>
      </c>
      <c r="D427" s="7" t="s">
        <v>3381</v>
      </c>
      <c r="E427" s="2" t="s">
        <v>3377</v>
      </c>
      <c r="F427" s="99" t="s">
        <v>14</v>
      </c>
      <c r="G427" s="121">
        <v>100</v>
      </c>
      <c r="H427" s="122">
        <f t="shared" si="13"/>
        <v>400</v>
      </c>
      <c r="I427" s="450">
        <f>+(550+480)/4</f>
        <v>257.5</v>
      </c>
      <c r="J427" s="491">
        <f t="shared" si="14"/>
        <v>657.5</v>
      </c>
      <c r="K427" s="323"/>
      <c r="L427" s="324"/>
    </row>
    <row r="428" spans="1:12" ht="20.25" customHeight="1" thickBot="1" x14ac:dyDescent="0.25">
      <c r="A428" s="158">
        <v>424</v>
      </c>
      <c r="B428" s="159" t="s">
        <v>3382</v>
      </c>
      <c r="C428" s="160" t="s">
        <v>3383</v>
      </c>
      <c r="D428" s="161" t="s">
        <v>3384</v>
      </c>
      <c r="E428" s="162" t="s">
        <v>3377</v>
      </c>
      <c r="F428" s="163" t="s">
        <v>17</v>
      </c>
      <c r="G428" s="164">
        <v>150</v>
      </c>
      <c r="H428" s="153">
        <f t="shared" si="13"/>
        <v>350</v>
      </c>
      <c r="I428" s="451">
        <f>+(550+480)/4</f>
        <v>257.5</v>
      </c>
      <c r="J428" s="492">
        <f t="shared" si="14"/>
        <v>607.5</v>
      </c>
      <c r="K428" s="325"/>
      <c r="L428" s="326"/>
    </row>
    <row r="429" spans="1:12" ht="20.25" customHeight="1" x14ac:dyDescent="0.2">
      <c r="A429" s="108">
        <v>425</v>
      </c>
      <c r="B429" s="223"/>
      <c r="C429" s="190" t="s">
        <v>4876</v>
      </c>
      <c r="D429" s="224"/>
      <c r="E429" s="189" t="s">
        <v>3388</v>
      </c>
      <c r="F429" s="190" t="s">
        <v>8</v>
      </c>
      <c r="G429" s="225">
        <v>0</v>
      </c>
      <c r="H429" s="191">
        <v>0</v>
      </c>
      <c r="I429" s="287"/>
      <c r="J429" s="490">
        <f t="shared" si="14"/>
        <v>0</v>
      </c>
      <c r="K429" s="330" t="s">
        <v>4876</v>
      </c>
      <c r="L429" s="328"/>
    </row>
    <row r="430" spans="1:12" ht="20.25" customHeight="1" x14ac:dyDescent="0.2">
      <c r="A430" s="114">
        <v>426</v>
      </c>
      <c r="B430" s="47" t="s">
        <v>3385</v>
      </c>
      <c r="C430" s="10" t="s">
        <v>3386</v>
      </c>
      <c r="D430" s="11" t="s">
        <v>3387</v>
      </c>
      <c r="E430" s="5" t="s">
        <v>3388</v>
      </c>
      <c r="F430" s="100" t="s">
        <v>11</v>
      </c>
      <c r="G430" s="125">
        <v>50</v>
      </c>
      <c r="H430" s="122">
        <f t="shared" si="13"/>
        <v>450</v>
      </c>
      <c r="I430" s="450">
        <f>+(530+615)/2</f>
        <v>572.5</v>
      </c>
      <c r="J430" s="491">
        <f t="shared" si="14"/>
        <v>1022.5</v>
      </c>
      <c r="K430" s="323"/>
      <c r="L430" s="324"/>
    </row>
    <row r="431" spans="1:12" ht="20.25" customHeight="1" x14ac:dyDescent="0.2">
      <c r="A431" s="114">
        <v>427</v>
      </c>
      <c r="B431" s="47" t="s">
        <v>3389</v>
      </c>
      <c r="C431" s="10" t="s">
        <v>3210</v>
      </c>
      <c r="D431" s="11" t="s">
        <v>3390</v>
      </c>
      <c r="E431" s="5" t="s">
        <v>3388</v>
      </c>
      <c r="F431" s="100" t="s">
        <v>14</v>
      </c>
      <c r="G431" s="125">
        <v>50</v>
      </c>
      <c r="H431" s="122">
        <f t="shared" si="13"/>
        <v>450</v>
      </c>
      <c r="I431" s="450">
        <f>+(530+615)/2</f>
        <v>572.5</v>
      </c>
      <c r="J431" s="491">
        <f t="shared" si="14"/>
        <v>1022.5</v>
      </c>
      <c r="K431" s="323"/>
      <c r="L431" s="324"/>
    </row>
    <row r="432" spans="1:12" ht="20.25" customHeight="1" thickBot="1" x14ac:dyDescent="0.25">
      <c r="A432" s="319">
        <v>428</v>
      </c>
      <c r="B432" s="226"/>
      <c r="C432" s="184" t="s">
        <v>4946</v>
      </c>
      <c r="D432" s="227"/>
      <c r="E432" s="183" t="s">
        <v>3388</v>
      </c>
      <c r="F432" s="184" t="s">
        <v>17</v>
      </c>
      <c r="G432" s="228"/>
      <c r="H432" s="185"/>
      <c r="I432" s="286"/>
      <c r="J432" s="493">
        <f t="shared" si="14"/>
        <v>0</v>
      </c>
      <c r="K432" s="329" t="s">
        <v>4946</v>
      </c>
      <c r="L432" s="326"/>
    </row>
    <row r="433" spans="1:12" ht="20.25" customHeight="1" x14ac:dyDescent="0.2">
      <c r="A433" s="108">
        <v>429</v>
      </c>
      <c r="B433" s="171" t="s">
        <v>3392</v>
      </c>
      <c r="C433" s="110" t="s">
        <v>2139</v>
      </c>
      <c r="D433" s="111" t="s">
        <v>3393</v>
      </c>
      <c r="E433" s="112" t="s">
        <v>3394</v>
      </c>
      <c r="F433" s="113" t="s">
        <v>8</v>
      </c>
      <c r="G433" s="119">
        <v>50</v>
      </c>
      <c r="H433" s="120">
        <f t="shared" si="13"/>
        <v>450</v>
      </c>
      <c r="I433" s="452">
        <f>+(1005+1070)/4</f>
        <v>518.75</v>
      </c>
      <c r="J433" s="490">
        <f t="shared" si="14"/>
        <v>968.75</v>
      </c>
      <c r="K433" s="327"/>
      <c r="L433" s="328"/>
    </row>
    <row r="434" spans="1:12" ht="20.25" customHeight="1" x14ac:dyDescent="0.2">
      <c r="A434" s="114">
        <v>430</v>
      </c>
      <c r="B434" s="1" t="s">
        <v>3395</v>
      </c>
      <c r="C434" s="6" t="s">
        <v>2429</v>
      </c>
      <c r="D434" s="7" t="s">
        <v>3396</v>
      </c>
      <c r="E434" s="2" t="s">
        <v>3394</v>
      </c>
      <c r="F434" s="99" t="s">
        <v>11</v>
      </c>
      <c r="G434" s="121">
        <v>50</v>
      </c>
      <c r="H434" s="122">
        <f t="shared" si="13"/>
        <v>450</v>
      </c>
      <c r="I434" s="450">
        <f>+(1005+1070)/4</f>
        <v>518.75</v>
      </c>
      <c r="J434" s="491">
        <f t="shared" si="14"/>
        <v>968.75</v>
      </c>
      <c r="K434" s="323"/>
      <c r="L434" s="324"/>
    </row>
    <row r="435" spans="1:12" ht="20.25" customHeight="1" x14ac:dyDescent="0.2">
      <c r="A435" s="114">
        <v>431</v>
      </c>
      <c r="B435" s="1" t="s">
        <v>3397</v>
      </c>
      <c r="C435" s="6" t="s">
        <v>2683</v>
      </c>
      <c r="D435" s="7" t="s">
        <v>3398</v>
      </c>
      <c r="E435" s="2" t="s">
        <v>3394</v>
      </c>
      <c r="F435" s="99" t="s">
        <v>14</v>
      </c>
      <c r="G435" s="121">
        <v>50</v>
      </c>
      <c r="H435" s="122">
        <f t="shared" si="13"/>
        <v>450</v>
      </c>
      <c r="I435" s="450">
        <f>+(1005+1070)/4</f>
        <v>518.75</v>
      </c>
      <c r="J435" s="491">
        <f t="shared" si="14"/>
        <v>968.75</v>
      </c>
      <c r="K435" s="323"/>
      <c r="L435" s="324"/>
    </row>
    <row r="436" spans="1:12" ht="20.25" customHeight="1" thickBot="1" x14ac:dyDescent="0.25">
      <c r="A436" s="158">
        <v>432</v>
      </c>
      <c r="B436" s="159" t="s">
        <v>3399</v>
      </c>
      <c r="C436" s="160" t="s">
        <v>3400</v>
      </c>
      <c r="D436" s="161" t="s">
        <v>3401</v>
      </c>
      <c r="E436" s="162">
        <v>2501</v>
      </c>
      <c r="F436" s="163" t="s">
        <v>17</v>
      </c>
      <c r="G436" s="164">
        <v>50</v>
      </c>
      <c r="H436" s="153">
        <f t="shared" si="13"/>
        <v>450</v>
      </c>
      <c r="I436" s="451">
        <f>+(1005+1070)/4</f>
        <v>518.75</v>
      </c>
      <c r="J436" s="492">
        <f t="shared" si="14"/>
        <v>968.75</v>
      </c>
      <c r="K436" s="325"/>
      <c r="L436" s="326"/>
    </row>
    <row r="437" spans="1:12" ht="20.25" customHeight="1" x14ac:dyDescent="0.2">
      <c r="A437" s="108">
        <v>433</v>
      </c>
      <c r="B437" s="174" t="s">
        <v>4438</v>
      </c>
      <c r="C437" s="175" t="s">
        <v>3295</v>
      </c>
      <c r="D437" s="176" t="s">
        <v>4439</v>
      </c>
      <c r="E437" s="177" t="s">
        <v>3405</v>
      </c>
      <c r="F437" s="178" t="s">
        <v>8</v>
      </c>
      <c r="G437" s="179">
        <v>50</v>
      </c>
      <c r="H437" s="120">
        <f t="shared" si="13"/>
        <v>450</v>
      </c>
      <c r="I437" s="452">
        <f>+(1050+1620)/4</f>
        <v>667.5</v>
      </c>
      <c r="J437" s="490">
        <f t="shared" si="14"/>
        <v>1117.5</v>
      </c>
      <c r="K437" s="327"/>
      <c r="L437" s="328"/>
    </row>
    <row r="438" spans="1:12" ht="20.25" customHeight="1" x14ac:dyDescent="0.2">
      <c r="A438" s="114">
        <v>434</v>
      </c>
      <c r="B438" s="47" t="s">
        <v>3402</v>
      </c>
      <c r="C438" s="10" t="s">
        <v>3403</v>
      </c>
      <c r="D438" s="11" t="s">
        <v>3404</v>
      </c>
      <c r="E438" s="5" t="s">
        <v>3405</v>
      </c>
      <c r="F438" s="100" t="s">
        <v>11</v>
      </c>
      <c r="G438" s="125">
        <v>100</v>
      </c>
      <c r="H438" s="122">
        <f t="shared" si="13"/>
        <v>400</v>
      </c>
      <c r="I438" s="450">
        <f>+(1050+1620)/4</f>
        <v>667.5</v>
      </c>
      <c r="J438" s="491">
        <f t="shared" si="14"/>
        <v>1067.5</v>
      </c>
      <c r="K438" s="323"/>
      <c r="L438" s="324"/>
    </row>
    <row r="439" spans="1:12" ht="20.25" customHeight="1" x14ac:dyDescent="0.2">
      <c r="A439" s="114">
        <v>435</v>
      </c>
      <c r="B439" s="47" t="s">
        <v>3406</v>
      </c>
      <c r="C439" s="10" t="s">
        <v>3407</v>
      </c>
      <c r="D439" s="11" t="s">
        <v>3408</v>
      </c>
      <c r="E439" s="5" t="s">
        <v>3405</v>
      </c>
      <c r="F439" s="100" t="s">
        <v>14</v>
      </c>
      <c r="G439" s="125">
        <v>100</v>
      </c>
      <c r="H439" s="122">
        <f t="shared" si="13"/>
        <v>400</v>
      </c>
      <c r="I439" s="450">
        <f>+(1050+1620)/4</f>
        <v>667.5</v>
      </c>
      <c r="J439" s="491">
        <f t="shared" si="14"/>
        <v>1067.5</v>
      </c>
      <c r="K439" s="323"/>
      <c r="L439" s="324"/>
    </row>
    <row r="440" spans="1:12" ht="20.25" customHeight="1" thickBot="1" x14ac:dyDescent="0.25">
      <c r="A440" s="158">
        <v>436</v>
      </c>
      <c r="B440" s="192" t="s">
        <v>3409</v>
      </c>
      <c r="C440" s="193" t="s">
        <v>2758</v>
      </c>
      <c r="D440" s="194" t="s">
        <v>3110</v>
      </c>
      <c r="E440" s="195" t="s">
        <v>3405</v>
      </c>
      <c r="F440" s="196" t="s">
        <v>17</v>
      </c>
      <c r="G440" s="197">
        <v>150</v>
      </c>
      <c r="H440" s="153">
        <f t="shared" si="13"/>
        <v>350</v>
      </c>
      <c r="I440" s="451">
        <f>+(1050+1620)/4</f>
        <v>667.5</v>
      </c>
      <c r="J440" s="492">
        <f t="shared" si="14"/>
        <v>1017.5</v>
      </c>
      <c r="K440" s="325"/>
      <c r="L440" s="326"/>
    </row>
    <row r="441" spans="1:12" ht="20.25" customHeight="1" x14ac:dyDescent="0.2">
      <c r="A441" s="108">
        <v>437</v>
      </c>
      <c r="B441" s="174" t="s">
        <v>3410</v>
      </c>
      <c r="C441" s="175" t="s">
        <v>3411</v>
      </c>
      <c r="D441" s="176" t="s">
        <v>3412</v>
      </c>
      <c r="E441" s="177" t="s">
        <v>3413</v>
      </c>
      <c r="F441" s="178" t="s">
        <v>8</v>
      </c>
      <c r="G441" s="179">
        <v>50</v>
      </c>
      <c r="H441" s="120">
        <f t="shared" si="13"/>
        <v>450</v>
      </c>
      <c r="I441" s="452">
        <f>+(1170+975)/4</f>
        <v>536.25</v>
      </c>
      <c r="J441" s="490">
        <f t="shared" si="14"/>
        <v>986.25</v>
      </c>
      <c r="K441" s="327"/>
      <c r="L441" s="328"/>
    </row>
    <row r="442" spans="1:12" ht="20.25" customHeight="1" x14ac:dyDescent="0.2">
      <c r="A442" s="114">
        <v>438</v>
      </c>
      <c r="B442" s="47" t="s">
        <v>3414</v>
      </c>
      <c r="C442" s="10" t="s">
        <v>3415</v>
      </c>
      <c r="D442" s="11" t="s">
        <v>3416</v>
      </c>
      <c r="E442" s="5" t="s">
        <v>3413</v>
      </c>
      <c r="F442" s="100" t="s">
        <v>11</v>
      </c>
      <c r="G442" s="125">
        <v>50</v>
      </c>
      <c r="H442" s="122">
        <f t="shared" si="13"/>
        <v>450</v>
      </c>
      <c r="I442" s="450">
        <f>+(1170+975)/4</f>
        <v>536.25</v>
      </c>
      <c r="J442" s="491">
        <f t="shared" si="14"/>
        <v>986.25</v>
      </c>
      <c r="K442" s="323"/>
      <c r="L442" s="324"/>
    </row>
    <row r="443" spans="1:12" ht="20.25" customHeight="1" x14ac:dyDescent="0.2">
      <c r="A443" s="114">
        <v>439</v>
      </c>
      <c r="B443" s="47" t="s">
        <v>3417</v>
      </c>
      <c r="C443" s="10" t="s">
        <v>3418</v>
      </c>
      <c r="D443" s="11" t="s">
        <v>3419</v>
      </c>
      <c r="E443" s="5" t="s">
        <v>3413</v>
      </c>
      <c r="F443" s="100" t="s">
        <v>14</v>
      </c>
      <c r="G443" s="125">
        <v>50</v>
      </c>
      <c r="H443" s="122">
        <f t="shared" si="13"/>
        <v>450</v>
      </c>
      <c r="I443" s="450">
        <f>+(1170+975)/4</f>
        <v>536.25</v>
      </c>
      <c r="J443" s="491">
        <f t="shared" si="14"/>
        <v>986.25</v>
      </c>
      <c r="K443" s="323"/>
      <c r="L443" s="324"/>
    </row>
    <row r="444" spans="1:12" ht="20.25" customHeight="1" thickBot="1" x14ac:dyDescent="0.25">
      <c r="A444" s="158">
        <v>440</v>
      </c>
      <c r="B444" s="192" t="s">
        <v>4972</v>
      </c>
      <c r="C444" s="193" t="s">
        <v>4898</v>
      </c>
      <c r="D444" s="194" t="s">
        <v>4899</v>
      </c>
      <c r="E444" s="195" t="s">
        <v>3413</v>
      </c>
      <c r="F444" s="196" t="s">
        <v>17</v>
      </c>
      <c r="G444" s="197">
        <v>150</v>
      </c>
      <c r="H444" s="153">
        <f t="shared" si="13"/>
        <v>350</v>
      </c>
      <c r="I444" s="451">
        <f>+(1170+975)/4</f>
        <v>536.25</v>
      </c>
      <c r="J444" s="492">
        <f t="shared" si="14"/>
        <v>886.25</v>
      </c>
      <c r="K444" s="325"/>
      <c r="L444" s="326"/>
    </row>
    <row r="445" spans="1:12" ht="20.25" customHeight="1" x14ac:dyDescent="0.2">
      <c r="A445" s="108">
        <v>441</v>
      </c>
      <c r="B445" s="171" t="s">
        <v>3420</v>
      </c>
      <c r="C445" s="110" t="s">
        <v>3421</v>
      </c>
      <c r="D445" s="111" t="s">
        <v>3422</v>
      </c>
      <c r="E445" s="112" t="s">
        <v>3423</v>
      </c>
      <c r="F445" s="113" t="s">
        <v>8</v>
      </c>
      <c r="G445" s="119">
        <v>100</v>
      </c>
      <c r="H445" s="120">
        <f t="shared" si="13"/>
        <v>400</v>
      </c>
      <c r="I445" s="452">
        <f>+(1400+1105)/4</f>
        <v>626.25</v>
      </c>
      <c r="J445" s="490">
        <f t="shared" si="14"/>
        <v>1026.25</v>
      </c>
      <c r="K445" s="327"/>
      <c r="L445" s="328"/>
    </row>
    <row r="446" spans="1:12" ht="20.25" customHeight="1" x14ac:dyDescent="0.2">
      <c r="A446" s="114">
        <v>442</v>
      </c>
      <c r="B446" s="1" t="s">
        <v>3424</v>
      </c>
      <c r="C446" s="6" t="s">
        <v>3273</v>
      </c>
      <c r="D446" s="7" t="s">
        <v>3425</v>
      </c>
      <c r="E446" s="2" t="s">
        <v>3423</v>
      </c>
      <c r="F446" s="99" t="s">
        <v>11</v>
      </c>
      <c r="G446" s="121">
        <v>100</v>
      </c>
      <c r="H446" s="122">
        <f t="shared" si="13"/>
        <v>400</v>
      </c>
      <c r="I446" s="450">
        <f>+(1400+1105)/4</f>
        <v>626.25</v>
      </c>
      <c r="J446" s="491">
        <f t="shared" si="14"/>
        <v>1026.25</v>
      </c>
      <c r="K446" s="323"/>
      <c r="L446" s="324"/>
    </row>
    <row r="447" spans="1:12" ht="20.25" customHeight="1" x14ac:dyDescent="0.2">
      <c r="A447" s="114">
        <v>443</v>
      </c>
      <c r="B447" s="1" t="s">
        <v>3426</v>
      </c>
      <c r="C447" s="6" t="s">
        <v>3427</v>
      </c>
      <c r="D447" s="7" t="s">
        <v>3428</v>
      </c>
      <c r="E447" s="2" t="s">
        <v>3423</v>
      </c>
      <c r="F447" s="99" t="s">
        <v>14</v>
      </c>
      <c r="G447" s="121">
        <v>50</v>
      </c>
      <c r="H447" s="122">
        <f t="shared" si="13"/>
        <v>450</v>
      </c>
      <c r="I447" s="450">
        <f>+(1400+1105)/4</f>
        <v>626.25</v>
      </c>
      <c r="J447" s="491">
        <f t="shared" si="14"/>
        <v>1076.25</v>
      </c>
      <c r="K447" s="323"/>
      <c r="L447" s="324"/>
    </row>
    <row r="448" spans="1:12" ht="20.25" customHeight="1" thickBot="1" x14ac:dyDescent="0.25">
      <c r="A448" s="158">
        <v>444</v>
      </c>
      <c r="B448" s="159" t="s">
        <v>3429</v>
      </c>
      <c r="C448" s="160" t="s">
        <v>3430</v>
      </c>
      <c r="D448" s="161" t="s">
        <v>3431</v>
      </c>
      <c r="E448" s="162" t="s">
        <v>3423</v>
      </c>
      <c r="F448" s="163" t="s">
        <v>17</v>
      </c>
      <c r="G448" s="164">
        <v>100</v>
      </c>
      <c r="H448" s="153">
        <f t="shared" si="13"/>
        <v>400</v>
      </c>
      <c r="I448" s="451">
        <f>+(1400+1105)/4</f>
        <v>626.25</v>
      </c>
      <c r="J448" s="492">
        <f t="shared" si="14"/>
        <v>1026.25</v>
      </c>
      <c r="K448" s="325"/>
      <c r="L448" s="326"/>
    </row>
    <row r="449" spans="1:12" ht="20.25" customHeight="1" x14ac:dyDescent="0.2">
      <c r="A449" s="108">
        <v>445</v>
      </c>
      <c r="B449" s="171" t="s">
        <v>3432</v>
      </c>
      <c r="C449" s="110" t="s">
        <v>3433</v>
      </c>
      <c r="D449" s="111" t="s">
        <v>3434</v>
      </c>
      <c r="E449" s="112" t="s">
        <v>3435</v>
      </c>
      <c r="F449" s="113" t="s">
        <v>8</v>
      </c>
      <c r="G449" s="119">
        <v>50</v>
      </c>
      <c r="H449" s="120">
        <f t="shared" si="13"/>
        <v>450</v>
      </c>
      <c r="I449" s="452">
        <f>+(1220+980)/4</f>
        <v>550</v>
      </c>
      <c r="J449" s="490">
        <f t="shared" si="14"/>
        <v>1000</v>
      </c>
      <c r="K449" s="327"/>
      <c r="L449" s="328"/>
    </row>
    <row r="450" spans="1:12" ht="20.25" customHeight="1" x14ac:dyDescent="0.2">
      <c r="A450" s="114">
        <v>446</v>
      </c>
      <c r="B450" s="1" t="s">
        <v>3436</v>
      </c>
      <c r="C450" s="6" t="s">
        <v>3437</v>
      </c>
      <c r="D450" s="7" t="s">
        <v>3438</v>
      </c>
      <c r="E450" s="2" t="s">
        <v>3435</v>
      </c>
      <c r="F450" s="99" t="s">
        <v>11</v>
      </c>
      <c r="G450" s="121">
        <v>50</v>
      </c>
      <c r="H450" s="122">
        <f t="shared" si="13"/>
        <v>450</v>
      </c>
      <c r="I450" s="450">
        <f>+(1220+980)/4</f>
        <v>550</v>
      </c>
      <c r="J450" s="491">
        <f t="shared" si="14"/>
        <v>1000</v>
      </c>
      <c r="K450" s="323"/>
      <c r="L450" s="324"/>
    </row>
    <row r="451" spans="1:12" ht="20.25" customHeight="1" x14ac:dyDescent="0.2">
      <c r="A451" s="114">
        <v>447</v>
      </c>
      <c r="B451" s="1" t="s">
        <v>3439</v>
      </c>
      <c r="C451" s="6" t="s">
        <v>2201</v>
      </c>
      <c r="D451" s="7" t="s">
        <v>3440</v>
      </c>
      <c r="E451" s="2" t="s">
        <v>3435</v>
      </c>
      <c r="F451" s="99" t="s">
        <v>14</v>
      </c>
      <c r="G451" s="121">
        <v>50</v>
      </c>
      <c r="H451" s="122">
        <f t="shared" si="13"/>
        <v>450</v>
      </c>
      <c r="I451" s="450">
        <f>+(1220+980)/4</f>
        <v>550</v>
      </c>
      <c r="J451" s="491">
        <f t="shared" si="14"/>
        <v>1000</v>
      </c>
      <c r="K451" s="323"/>
      <c r="L451" s="324"/>
    </row>
    <row r="452" spans="1:12" ht="20.25" customHeight="1" thickBot="1" x14ac:dyDescent="0.25">
      <c r="A452" s="158">
        <v>448</v>
      </c>
      <c r="B452" s="159" t="s">
        <v>3441</v>
      </c>
      <c r="C452" s="160" t="s">
        <v>3442</v>
      </c>
      <c r="D452" s="161" t="s">
        <v>3443</v>
      </c>
      <c r="E452" s="162" t="s">
        <v>3435</v>
      </c>
      <c r="F452" s="163" t="s">
        <v>17</v>
      </c>
      <c r="G452" s="164">
        <v>50</v>
      </c>
      <c r="H452" s="153">
        <f t="shared" ref="H452:H515" si="15">500-G452</f>
        <v>450</v>
      </c>
      <c r="I452" s="451">
        <f>+(1220+980)/4</f>
        <v>550</v>
      </c>
      <c r="J452" s="492">
        <f t="shared" si="14"/>
        <v>1000</v>
      </c>
      <c r="K452" s="325"/>
      <c r="L452" s="326"/>
    </row>
    <row r="453" spans="1:12" ht="20.25" customHeight="1" x14ac:dyDescent="0.2">
      <c r="A453" s="108">
        <v>449</v>
      </c>
      <c r="B453" s="171" t="s">
        <v>3444</v>
      </c>
      <c r="C453" s="110" t="s">
        <v>3445</v>
      </c>
      <c r="D453" s="111" t="s">
        <v>3446</v>
      </c>
      <c r="E453" s="112" t="s">
        <v>3447</v>
      </c>
      <c r="F453" s="113" t="s">
        <v>8</v>
      </c>
      <c r="G453" s="119">
        <v>100</v>
      </c>
      <c r="H453" s="120">
        <f t="shared" si="15"/>
        <v>400</v>
      </c>
      <c r="I453" s="452">
        <f>+(170+275)/4</f>
        <v>111.25</v>
      </c>
      <c r="J453" s="490">
        <f t="shared" si="14"/>
        <v>511.25</v>
      </c>
      <c r="K453" s="327"/>
      <c r="L453" s="328"/>
    </row>
    <row r="454" spans="1:12" ht="20.25" customHeight="1" x14ac:dyDescent="0.2">
      <c r="A454" s="114">
        <v>450</v>
      </c>
      <c r="B454" s="1" t="s">
        <v>3448</v>
      </c>
      <c r="C454" s="6" t="s">
        <v>3449</v>
      </c>
      <c r="D454" s="7" t="s">
        <v>3450</v>
      </c>
      <c r="E454" s="2" t="s">
        <v>3447</v>
      </c>
      <c r="F454" s="99" t="s">
        <v>11</v>
      </c>
      <c r="G454" s="121">
        <v>50</v>
      </c>
      <c r="H454" s="122">
        <f t="shared" si="15"/>
        <v>450</v>
      </c>
      <c r="I454" s="450">
        <f>+(170+275)/4</f>
        <v>111.25</v>
      </c>
      <c r="J454" s="491">
        <f t="shared" si="14"/>
        <v>561.25</v>
      </c>
      <c r="K454" s="323"/>
      <c r="L454" s="324"/>
    </row>
    <row r="455" spans="1:12" ht="20.25" customHeight="1" x14ac:dyDescent="0.2">
      <c r="A455" s="114">
        <v>451</v>
      </c>
      <c r="B455" s="1" t="s">
        <v>3451</v>
      </c>
      <c r="C455" s="6" t="s">
        <v>3452</v>
      </c>
      <c r="D455" s="7" t="s">
        <v>3453</v>
      </c>
      <c r="E455" s="2" t="s">
        <v>3447</v>
      </c>
      <c r="F455" s="99" t="s">
        <v>14</v>
      </c>
      <c r="G455" s="121">
        <v>50</v>
      </c>
      <c r="H455" s="122">
        <f t="shared" si="15"/>
        <v>450</v>
      </c>
      <c r="I455" s="450">
        <f>+(170+275)/4</f>
        <v>111.25</v>
      </c>
      <c r="J455" s="491">
        <f t="shared" si="14"/>
        <v>561.25</v>
      </c>
      <c r="K455" s="323"/>
      <c r="L455" s="324"/>
    </row>
    <row r="456" spans="1:12" ht="20.25" customHeight="1" thickBot="1" x14ac:dyDescent="0.25">
      <c r="A456" s="158">
        <v>452</v>
      </c>
      <c r="B456" s="159" t="s">
        <v>3454</v>
      </c>
      <c r="C456" s="160" t="s">
        <v>3455</v>
      </c>
      <c r="D456" s="161" t="s">
        <v>3456</v>
      </c>
      <c r="E456" s="162" t="s">
        <v>3447</v>
      </c>
      <c r="F456" s="163" t="s">
        <v>17</v>
      </c>
      <c r="G456" s="164">
        <v>100</v>
      </c>
      <c r="H456" s="153">
        <f t="shared" si="15"/>
        <v>400</v>
      </c>
      <c r="I456" s="451">
        <f>+(170+275)/4</f>
        <v>111.25</v>
      </c>
      <c r="J456" s="492">
        <f t="shared" si="14"/>
        <v>511.25</v>
      </c>
      <c r="K456" s="325"/>
      <c r="L456" s="326"/>
    </row>
    <row r="457" spans="1:12" ht="20.25" customHeight="1" x14ac:dyDescent="0.2">
      <c r="A457" s="108">
        <v>453</v>
      </c>
      <c r="B457" s="171" t="s">
        <v>3457</v>
      </c>
      <c r="C457" s="110" t="s">
        <v>3458</v>
      </c>
      <c r="D457" s="111" t="s">
        <v>3459</v>
      </c>
      <c r="E457" s="112" t="s">
        <v>3460</v>
      </c>
      <c r="F457" s="113" t="s">
        <v>8</v>
      </c>
      <c r="G457" s="119">
        <v>100</v>
      </c>
      <c r="H457" s="120">
        <f t="shared" si="15"/>
        <v>400</v>
      </c>
      <c r="I457" s="452">
        <f>+(1050+260)/4</f>
        <v>327.5</v>
      </c>
      <c r="J457" s="490">
        <f t="shared" si="14"/>
        <v>727.5</v>
      </c>
      <c r="K457" s="327"/>
      <c r="L457" s="328"/>
    </row>
    <row r="458" spans="1:12" ht="20.25" customHeight="1" x14ac:dyDescent="0.2">
      <c r="A458" s="114">
        <v>454</v>
      </c>
      <c r="B458" s="1" t="s">
        <v>3461</v>
      </c>
      <c r="C458" s="6" t="s">
        <v>2177</v>
      </c>
      <c r="D458" s="7" t="s">
        <v>3462</v>
      </c>
      <c r="E458" s="2" t="s">
        <v>3460</v>
      </c>
      <c r="F458" s="99" t="s">
        <v>11</v>
      </c>
      <c r="G458" s="121">
        <v>100</v>
      </c>
      <c r="H458" s="122">
        <f t="shared" si="15"/>
        <v>400</v>
      </c>
      <c r="I458" s="450">
        <f>+(1050+260)/4</f>
        <v>327.5</v>
      </c>
      <c r="J458" s="491">
        <f t="shared" si="14"/>
        <v>727.5</v>
      </c>
      <c r="K458" s="323"/>
      <c r="L458" s="324"/>
    </row>
    <row r="459" spans="1:12" s="37" customFormat="1" ht="19.5" customHeight="1" x14ac:dyDescent="0.2">
      <c r="A459" s="116">
        <v>455</v>
      </c>
      <c r="B459" s="46" t="s">
        <v>3463</v>
      </c>
      <c r="C459" s="29" t="s">
        <v>3464</v>
      </c>
      <c r="D459" s="28" t="s">
        <v>3465</v>
      </c>
      <c r="E459" s="30" t="s">
        <v>3460</v>
      </c>
      <c r="F459" s="73" t="s">
        <v>14</v>
      </c>
      <c r="G459" s="126">
        <v>50</v>
      </c>
      <c r="H459" s="127">
        <f t="shared" si="15"/>
        <v>450</v>
      </c>
      <c r="I459" s="294">
        <f>+(1050+260)/4</f>
        <v>327.5</v>
      </c>
      <c r="J459" s="497">
        <f t="shared" si="14"/>
        <v>777.5</v>
      </c>
      <c r="K459" s="333" t="s">
        <v>4996</v>
      </c>
      <c r="L459" s="334">
        <v>5500</v>
      </c>
    </row>
    <row r="460" spans="1:12" ht="20.25" customHeight="1" thickBot="1" x14ac:dyDescent="0.25">
      <c r="A460" s="158">
        <v>456</v>
      </c>
      <c r="B460" s="159" t="s">
        <v>3466</v>
      </c>
      <c r="C460" s="160" t="s">
        <v>3170</v>
      </c>
      <c r="D460" s="161" t="s">
        <v>3467</v>
      </c>
      <c r="E460" s="162" t="s">
        <v>3460</v>
      </c>
      <c r="F460" s="163" t="s">
        <v>17</v>
      </c>
      <c r="G460" s="164">
        <v>100</v>
      </c>
      <c r="H460" s="153">
        <f t="shared" si="15"/>
        <v>400</v>
      </c>
      <c r="I460" s="451">
        <f>+(1050+260)/4</f>
        <v>327.5</v>
      </c>
      <c r="J460" s="492">
        <f t="shared" si="14"/>
        <v>727.5</v>
      </c>
      <c r="K460" s="325"/>
      <c r="L460" s="326"/>
    </row>
    <row r="461" spans="1:12" ht="20.25" customHeight="1" x14ac:dyDescent="0.2">
      <c r="A461" s="108">
        <v>457</v>
      </c>
      <c r="B461" s="171" t="s">
        <v>3468</v>
      </c>
      <c r="C461" s="110" t="s">
        <v>2149</v>
      </c>
      <c r="D461" s="111" t="s">
        <v>3469</v>
      </c>
      <c r="E461" s="112" t="s">
        <v>3470</v>
      </c>
      <c r="F461" s="113" t="s">
        <v>8</v>
      </c>
      <c r="G461" s="119">
        <v>200</v>
      </c>
      <c r="H461" s="120">
        <f t="shared" si="15"/>
        <v>300</v>
      </c>
      <c r="I461" s="452">
        <f>+(595+1380)/4</f>
        <v>493.75</v>
      </c>
      <c r="J461" s="490">
        <f t="shared" si="14"/>
        <v>793.75</v>
      </c>
      <c r="K461" s="327"/>
      <c r="L461" s="328"/>
    </row>
    <row r="462" spans="1:12" ht="20.25" customHeight="1" x14ac:dyDescent="0.2">
      <c r="A462" s="114">
        <v>458</v>
      </c>
      <c r="B462" s="1" t="s">
        <v>3471</v>
      </c>
      <c r="C462" s="6" t="s">
        <v>3472</v>
      </c>
      <c r="D462" s="7" t="s">
        <v>3473</v>
      </c>
      <c r="E462" s="2" t="s">
        <v>3470</v>
      </c>
      <c r="F462" s="99" t="s">
        <v>11</v>
      </c>
      <c r="G462" s="121">
        <v>150</v>
      </c>
      <c r="H462" s="122">
        <f t="shared" si="15"/>
        <v>350</v>
      </c>
      <c r="I462" s="450">
        <f>+(595+1380)/4</f>
        <v>493.75</v>
      </c>
      <c r="J462" s="491">
        <f t="shared" si="14"/>
        <v>843.75</v>
      </c>
      <c r="K462" s="323"/>
      <c r="L462" s="324"/>
    </row>
    <row r="463" spans="1:12" ht="20.25" customHeight="1" x14ac:dyDescent="0.2">
      <c r="A463" s="114">
        <v>459</v>
      </c>
      <c r="B463" s="1" t="s">
        <v>3474</v>
      </c>
      <c r="C463" s="6" t="s">
        <v>3475</v>
      </c>
      <c r="D463" s="7" t="s">
        <v>3476</v>
      </c>
      <c r="E463" s="2" t="s">
        <v>3470</v>
      </c>
      <c r="F463" s="99" t="s">
        <v>14</v>
      </c>
      <c r="G463" s="121">
        <v>150</v>
      </c>
      <c r="H463" s="122">
        <f t="shared" si="15"/>
        <v>350</v>
      </c>
      <c r="I463" s="450">
        <f>+(595+1380)/4</f>
        <v>493.75</v>
      </c>
      <c r="J463" s="491">
        <f t="shared" si="14"/>
        <v>843.75</v>
      </c>
      <c r="K463" s="323"/>
      <c r="L463" s="324"/>
    </row>
    <row r="464" spans="1:12" ht="20.25" customHeight="1" thickBot="1" x14ac:dyDescent="0.25">
      <c r="A464" s="158">
        <v>460</v>
      </c>
      <c r="B464" s="159" t="s">
        <v>3477</v>
      </c>
      <c r="C464" s="160" t="s">
        <v>2994</v>
      </c>
      <c r="D464" s="161" t="s">
        <v>3478</v>
      </c>
      <c r="E464" s="162" t="s">
        <v>3470</v>
      </c>
      <c r="F464" s="163" t="s">
        <v>17</v>
      </c>
      <c r="G464" s="164">
        <v>150</v>
      </c>
      <c r="H464" s="153">
        <f t="shared" si="15"/>
        <v>350</v>
      </c>
      <c r="I464" s="451">
        <f>+(595+1380)/4</f>
        <v>493.75</v>
      </c>
      <c r="J464" s="492">
        <f t="shared" si="14"/>
        <v>843.75</v>
      </c>
      <c r="K464" s="325"/>
      <c r="L464" s="326"/>
    </row>
    <row r="465" spans="1:12" ht="20.25" customHeight="1" x14ac:dyDescent="0.2">
      <c r="A465" s="108">
        <v>461</v>
      </c>
      <c r="B465" s="171" t="s">
        <v>3479</v>
      </c>
      <c r="C465" s="110" t="s">
        <v>2737</v>
      </c>
      <c r="D465" s="111" t="s">
        <v>3036</v>
      </c>
      <c r="E465" s="112" t="s">
        <v>3480</v>
      </c>
      <c r="F465" s="113" t="s">
        <v>8</v>
      </c>
      <c r="G465" s="119">
        <v>50</v>
      </c>
      <c r="H465" s="120">
        <f t="shared" si="15"/>
        <v>450</v>
      </c>
      <c r="I465" s="452">
        <f>+(900+1015)/4</f>
        <v>478.75</v>
      </c>
      <c r="J465" s="490">
        <f t="shared" ref="J465:J528" si="16">SUM(H465:I465)</f>
        <v>928.75</v>
      </c>
      <c r="K465" s="327"/>
      <c r="L465" s="328"/>
    </row>
    <row r="466" spans="1:12" ht="20.25" customHeight="1" x14ac:dyDescent="0.2">
      <c r="A466" s="114">
        <v>462</v>
      </c>
      <c r="B466" s="1" t="s">
        <v>3481</v>
      </c>
      <c r="C466" s="6" t="s">
        <v>3482</v>
      </c>
      <c r="D466" s="7" t="s">
        <v>3483</v>
      </c>
      <c r="E466" s="2" t="s">
        <v>3480</v>
      </c>
      <c r="F466" s="99" t="s">
        <v>11</v>
      </c>
      <c r="G466" s="121">
        <v>50</v>
      </c>
      <c r="H466" s="122">
        <f t="shared" si="15"/>
        <v>450</v>
      </c>
      <c r="I466" s="450">
        <f>+(900+1015)/4</f>
        <v>478.75</v>
      </c>
      <c r="J466" s="491">
        <f t="shared" si="16"/>
        <v>928.75</v>
      </c>
      <c r="K466" s="323"/>
      <c r="L466" s="324"/>
    </row>
    <row r="467" spans="1:12" ht="20.25" customHeight="1" x14ac:dyDescent="0.2">
      <c r="A467" s="114">
        <v>463</v>
      </c>
      <c r="B467" s="1" t="s">
        <v>3484</v>
      </c>
      <c r="C467" s="6" t="s">
        <v>3148</v>
      </c>
      <c r="D467" s="7" t="s">
        <v>3485</v>
      </c>
      <c r="E467" s="2" t="s">
        <v>3480</v>
      </c>
      <c r="F467" s="99" t="s">
        <v>14</v>
      </c>
      <c r="G467" s="121">
        <v>50</v>
      </c>
      <c r="H467" s="122">
        <f t="shared" si="15"/>
        <v>450</v>
      </c>
      <c r="I467" s="450">
        <f>+(900+1015)/4</f>
        <v>478.75</v>
      </c>
      <c r="J467" s="491">
        <f t="shared" si="16"/>
        <v>928.75</v>
      </c>
      <c r="K467" s="323"/>
      <c r="L467" s="324"/>
    </row>
    <row r="468" spans="1:12" ht="20.25" customHeight="1" thickBot="1" x14ac:dyDescent="0.25">
      <c r="A468" s="158">
        <v>464</v>
      </c>
      <c r="B468" s="159" t="s">
        <v>3486</v>
      </c>
      <c r="C468" s="160" t="s">
        <v>2288</v>
      </c>
      <c r="D468" s="161" t="s">
        <v>1198</v>
      </c>
      <c r="E468" s="162" t="s">
        <v>3480</v>
      </c>
      <c r="F468" s="163" t="s">
        <v>17</v>
      </c>
      <c r="G468" s="164">
        <v>50</v>
      </c>
      <c r="H468" s="153">
        <f t="shared" si="15"/>
        <v>450</v>
      </c>
      <c r="I468" s="451">
        <f>+(900+1015)/4</f>
        <v>478.75</v>
      </c>
      <c r="J468" s="492">
        <f t="shared" si="16"/>
        <v>928.75</v>
      </c>
      <c r="K468" s="325"/>
      <c r="L468" s="326"/>
    </row>
    <row r="469" spans="1:12" s="37" customFormat="1" ht="20.25" customHeight="1" x14ac:dyDescent="0.2">
      <c r="A469" s="165">
        <v>465</v>
      </c>
      <c r="B469" s="229" t="s">
        <v>4973</v>
      </c>
      <c r="C469" s="230" t="s">
        <v>4900</v>
      </c>
      <c r="D469" s="231" t="s">
        <v>4901</v>
      </c>
      <c r="E469" s="232" t="s">
        <v>3490</v>
      </c>
      <c r="F469" s="233" t="s">
        <v>8</v>
      </c>
      <c r="G469" s="234">
        <v>150</v>
      </c>
      <c r="H469" s="246">
        <f t="shared" si="15"/>
        <v>350</v>
      </c>
      <c r="I469" s="293">
        <f>+(1360+1540)/4</f>
        <v>725</v>
      </c>
      <c r="J469" s="500">
        <f t="shared" si="16"/>
        <v>1075</v>
      </c>
      <c r="K469" s="321" t="s">
        <v>4996</v>
      </c>
      <c r="L469" s="341">
        <v>6280</v>
      </c>
    </row>
    <row r="470" spans="1:12" ht="20.25" customHeight="1" x14ac:dyDescent="0.2">
      <c r="A470" s="114">
        <v>466</v>
      </c>
      <c r="B470" s="47" t="s">
        <v>4974</v>
      </c>
      <c r="C470" s="10" t="s">
        <v>3391</v>
      </c>
      <c r="D470" s="11" t="s">
        <v>4902</v>
      </c>
      <c r="E470" s="5" t="s">
        <v>3490</v>
      </c>
      <c r="F470" s="100" t="s">
        <v>11</v>
      </c>
      <c r="G470" s="125">
        <v>150</v>
      </c>
      <c r="H470" s="122">
        <f t="shared" si="15"/>
        <v>350</v>
      </c>
      <c r="I470" s="450">
        <f>+(1360+1540)/4</f>
        <v>725</v>
      </c>
      <c r="J470" s="491">
        <f t="shared" si="16"/>
        <v>1075</v>
      </c>
      <c r="K470" s="323"/>
      <c r="L470" s="324"/>
    </row>
    <row r="471" spans="1:12" ht="20.25" customHeight="1" x14ac:dyDescent="0.2">
      <c r="A471" s="114">
        <v>467</v>
      </c>
      <c r="B471" s="47" t="s">
        <v>3487</v>
      </c>
      <c r="C471" s="10" t="s">
        <v>3488</v>
      </c>
      <c r="D471" s="11" t="s">
        <v>3489</v>
      </c>
      <c r="E471" s="5" t="s">
        <v>3490</v>
      </c>
      <c r="F471" s="100" t="s">
        <v>14</v>
      </c>
      <c r="G471" s="125">
        <v>100</v>
      </c>
      <c r="H471" s="122">
        <f t="shared" si="15"/>
        <v>400</v>
      </c>
      <c r="I471" s="450">
        <f>+(1360+1540)/4</f>
        <v>725</v>
      </c>
      <c r="J471" s="491">
        <f t="shared" si="16"/>
        <v>1125</v>
      </c>
      <c r="K471" s="323"/>
      <c r="L471" s="324"/>
    </row>
    <row r="472" spans="1:12" ht="20.25" customHeight="1" thickBot="1" x14ac:dyDescent="0.25">
      <c r="A472" s="158">
        <v>468</v>
      </c>
      <c r="B472" s="192" t="s">
        <v>3491</v>
      </c>
      <c r="C472" s="193" t="s">
        <v>3492</v>
      </c>
      <c r="D472" s="194" t="s">
        <v>3493</v>
      </c>
      <c r="E472" s="195" t="s">
        <v>3490</v>
      </c>
      <c r="F472" s="196" t="s">
        <v>17</v>
      </c>
      <c r="G472" s="197">
        <v>150</v>
      </c>
      <c r="H472" s="153">
        <f t="shared" si="15"/>
        <v>350</v>
      </c>
      <c r="I472" s="451">
        <f>+(1360+1540)/4</f>
        <v>725</v>
      </c>
      <c r="J472" s="492">
        <f t="shared" si="16"/>
        <v>1075</v>
      </c>
      <c r="K472" s="325"/>
      <c r="L472" s="326"/>
    </row>
    <row r="473" spans="1:12" ht="20.25" customHeight="1" x14ac:dyDescent="0.2">
      <c r="A473" s="108">
        <v>469</v>
      </c>
      <c r="B473" s="174" t="s">
        <v>3494</v>
      </c>
      <c r="C473" s="175" t="s">
        <v>3495</v>
      </c>
      <c r="D473" s="176" t="s">
        <v>3496</v>
      </c>
      <c r="E473" s="177" t="s">
        <v>3497</v>
      </c>
      <c r="F473" s="178" t="s">
        <v>8</v>
      </c>
      <c r="G473" s="179">
        <v>100</v>
      </c>
      <c r="H473" s="120">
        <f t="shared" si="15"/>
        <v>400</v>
      </c>
      <c r="I473" s="452">
        <f>+(0+170)/3</f>
        <v>56.666666666666664</v>
      </c>
      <c r="J473" s="490">
        <f t="shared" si="16"/>
        <v>456.66666666666669</v>
      </c>
      <c r="K473" s="327"/>
      <c r="L473" s="328"/>
    </row>
    <row r="474" spans="1:12" ht="20.25" customHeight="1" x14ac:dyDescent="0.2">
      <c r="A474" s="114">
        <v>470</v>
      </c>
      <c r="B474" s="84"/>
      <c r="C474" s="85" t="s">
        <v>4876</v>
      </c>
      <c r="D474" s="86"/>
      <c r="E474" s="83" t="s">
        <v>3497</v>
      </c>
      <c r="F474" s="85" t="s">
        <v>11</v>
      </c>
      <c r="G474" s="156">
        <v>0</v>
      </c>
      <c r="H474" s="155">
        <v>0</v>
      </c>
      <c r="I474" s="292"/>
      <c r="J474" s="491">
        <f t="shared" si="16"/>
        <v>0</v>
      </c>
      <c r="K474" s="338" t="s">
        <v>4876</v>
      </c>
      <c r="L474" s="324"/>
    </row>
    <row r="475" spans="1:12" ht="20.25" customHeight="1" x14ac:dyDescent="0.2">
      <c r="A475" s="114">
        <v>471</v>
      </c>
      <c r="B475" s="47" t="s">
        <v>3498</v>
      </c>
      <c r="C475" s="10" t="s">
        <v>3499</v>
      </c>
      <c r="D475" s="11" t="s">
        <v>3500</v>
      </c>
      <c r="E475" s="5" t="s">
        <v>3497</v>
      </c>
      <c r="F475" s="100" t="s">
        <v>14</v>
      </c>
      <c r="G475" s="125">
        <v>50</v>
      </c>
      <c r="H475" s="122">
        <f t="shared" si="15"/>
        <v>450</v>
      </c>
      <c r="I475" s="450">
        <f>+(0+170)/3</f>
        <v>56.666666666666664</v>
      </c>
      <c r="J475" s="491">
        <f t="shared" si="16"/>
        <v>506.66666666666669</v>
      </c>
      <c r="K475" s="323"/>
      <c r="L475" s="324"/>
    </row>
    <row r="476" spans="1:12" ht="20.25" customHeight="1" thickBot="1" x14ac:dyDescent="0.25">
      <c r="A476" s="158">
        <v>472</v>
      </c>
      <c r="B476" s="192" t="s">
        <v>3501</v>
      </c>
      <c r="C476" s="193" t="s">
        <v>2313</v>
      </c>
      <c r="D476" s="194" t="s">
        <v>3502</v>
      </c>
      <c r="E476" s="195" t="s">
        <v>3497</v>
      </c>
      <c r="F476" s="196" t="s">
        <v>17</v>
      </c>
      <c r="G476" s="197">
        <v>150</v>
      </c>
      <c r="H476" s="153">
        <f t="shared" si="15"/>
        <v>350</v>
      </c>
      <c r="I476" s="451">
        <f>+(0+170)/3</f>
        <v>56.666666666666664</v>
      </c>
      <c r="J476" s="492">
        <f t="shared" si="16"/>
        <v>406.66666666666669</v>
      </c>
      <c r="K476" s="325"/>
      <c r="L476" s="326"/>
    </row>
    <row r="477" spans="1:12" ht="20.25" customHeight="1" x14ac:dyDescent="0.2">
      <c r="A477" s="108">
        <v>473</v>
      </c>
      <c r="B477" s="171" t="s">
        <v>3503</v>
      </c>
      <c r="C477" s="110" t="s">
        <v>3504</v>
      </c>
      <c r="D477" s="111" t="s">
        <v>3505</v>
      </c>
      <c r="E477" s="112" t="s">
        <v>3506</v>
      </c>
      <c r="F477" s="113" t="s">
        <v>8</v>
      </c>
      <c r="G477" s="119">
        <v>100</v>
      </c>
      <c r="H477" s="120">
        <f t="shared" si="15"/>
        <v>400</v>
      </c>
      <c r="I477" s="452">
        <f>+(1510+1290)/4</f>
        <v>700</v>
      </c>
      <c r="J477" s="490">
        <f t="shared" si="16"/>
        <v>1100</v>
      </c>
      <c r="K477" s="327"/>
      <c r="L477" s="328"/>
    </row>
    <row r="478" spans="1:12" ht="20.25" customHeight="1" x14ac:dyDescent="0.2">
      <c r="A478" s="114">
        <v>474</v>
      </c>
      <c r="B478" s="1" t="s">
        <v>3507</v>
      </c>
      <c r="C478" s="6" t="s">
        <v>3182</v>
      </c>
      <c r="D478" s="7" t="s">
        <v>3508</v>
      </c>
      <c r="E478" s="2" t="s">
        <v>3506</v>
      </c>
      <c r="F478" s="99" t="s">
        <v>11</v>
      </c>
      <c r="G478" s="121">
        <v>150</v>
      </c>
      <c r="H478" s="122">
        <f t="shared" si="15"/>
        <v>350</v>
      </c>
      <c r="I478" s="450">
        <f>+(1510+1290)/4</f>
        <v>700</v>
      </c>
      <c r="J478" s="491">
        <f t="shared" si="16"/>
        <v>1050</v>
      </c>
      <c r="K478" s="323"/>
      <c r="L478" s="324"/>
    </row>
    <row r="479" spans="1:12" ht="20.25" customHeight="1" x14ac:dyDescent="0.2">
      <c r="A479" s="114">
        <v>475</v>
      </c>
      <c r="B479" s="1" t="s">
        <v>3509</v>
      </c>
      <c r="C479" s="6" t="s">
        <v>3510</v>
      </c>
      <c r="D479" s="7" t="s">
        <v>3511</v>
      </c>
      <c r="E479" s="2" t="s">
        <v>3506</v>
      </c>
      <c r="F479" s="99" t="s">
        <v>14</v>
      </c>
      <c r="G479" s="121">
        <v>150</v>
      </c>
      <c r="H479" s="122">
        <f t="shared" si="15"/>
        <v>350</v>
      </c>
      <c r="I479" s="450">
        <f>+(1510+1290)/4</f>
        <v>700</v>
      </c>
      <c r="J479" s="491">
        <f t="shared" si="16"/>
        <v>1050</v>
      </c>
      <c r="K479" s="323"/>
      <c r="L479" s="324"/>
    </row>
    <row r="480" spans="1:12" ht="20.25" customHeight="1" thickBot="1" x14ac:dyDescent="0.25">
      <c r="A480" s="158">
        <v>476</v>
      </c>
      <c r="B480" s="159" t="s">
        <v>3512</v>
      </c>
      <c r="C480" s="160" t="s">
        <v>2856</v>
      </c>
      <c r="D480" s="161" t="s">
        <v>3513</v>
      </c>
      <c r="E480" s="162" t="s">
        <v>3506</v>
      </c>
      <c r="F480" s="163" t="s">
        <v>17</v>
      </c>
      <c r="G480" s="164">
        <v>100</v>
      </c>
      <c r="H480" s="153">
        <f t="shared" si="15"/>
        <v>400</v>
      </c>
      <c r="I480" s="451">
        <f>+(1510+1290)/4</f>
        <v>700</v>
      </c>
      <c r="J480" s="492">
        <f t="shared" si="16"/>
        <v>1100</v>
      </c>
      <c r="K480" s="325"/>
      <c r="L480" s="326"/>
    </row>
    <row r="481" spans="1:12" ht="20.25" customHeight="1" x14ac:dyDescent="0.2">
      <c r="A481" s="108">
        <v>477</v>
      </c>
      <c r="B481" s="171" t="s">
        <v>3514</v>
      </c>
      <c r="C481" s="110" t="s">
        <v>3515</v>
      </c>
      <c r="D481" s="111" t="s">
        <v>3516</v>
      </c>
      <c r="E481" s="112" t="s">
        <v>3517</v>
      </c>
      <c r="F481" s="113" t="s">
        <v>8</v>
      </c>
      <c r="G481" s="119">
        <v>50</v>
      </c>
      <c r="H481" s="120">
        <f t="shared" si="15"/>
        <v>450</v>
      </c>
      <c r="I481" s="452">
        <f>+(365+280)/4</f>
        <v>161.25</v>
      </c>
      <c r="J481" s="490">
        <f t="shared" si="16"/>
        <v>611.25</v>
      </c>
      <c r="K481" s="327"/>
      <c r="L481" s="328"/>
    </row>
    <row r="482" spans="1:12" ht="20.25" customHeight="1" x14ac:dyDescent="0.2">
      <c r="A482" s="114">
        <v>478</v>
      </c>
      <c r="B482" s="1" t="s">
        <v>3518</v>
      </c>
      <c r="C482" s="6" t="s">
        <v>3519</v>
      </c>
      <c r="D482" s="7" t="s">
        <v>3520</v>
      </c>
      <c r="E482" s="2" t="s">
        <v>3517</v>
      </c>
      <c r="F482" s="99" t="s">
        <v>11</v>
      </c>
      <c r="G482" s="121">
        <v>50</v>
      </c>
      <c r="H482" s="122">
        <f t="shared" si="15"/>
        <v>450</v>
      </c>
      <c r="I482" s="450">
        <f>+(365+280)/4</f>
        <v>161.25</v>
      </c>
      <c r="J482" s="491">
        <f t="shared" si="16"/>
        <v>611.25</v>
      </c>
      <c r="K482" s="323"/>
      <c r="L482" s="324"/>
    </row>
    <row r="483" spans="1:12" ht="20.25" customHeight="1" x14ac:dyDescent="0.2">
      <c r="A483" s="114">
        <v>479</v>
      </c>
      <c r="B483" s="1" t="s">
        <v>3521</v>
      </c>
      <c r="C483" s="6" t="s">
        <v>3522</v>
      </c>
      <c r="D483" s="7" t="s">
        <v>3523</v>
      </c>
      <c r="E483" s="2" t="s">
        <v>3517</v>
      </c>
      <c r="F483" s="99" t="s">
        <v>14</v>
      </c>
      <c r="G483" s="121">
        <v>50</v>
      </c>
      <c r="H483" s="122">
        <f t="shared" si="15"/>
        <v>450</v>
      </c>
      <c r="I483" s="450">
        <f>+(365+280)/4</f>
        <v>161.25</v>
      </c>
      <c r="J483" s="491">
        <f t="shared" si="16"/>
        <v>611.25</v>
      </c>
      <c r="K483" s="323"/>
      <c r="L483" s="324"/>
    </row>
    <row r="484" spans="1:12" ht="20.25" customHeight="1" thickBot="1" x14ac:dyDescent="0.25">
      <c r="A484" s="158">
        <v>480</v>
      </c>
      <c r="B484" s="159" t="s">
        <v>3524</v>
      </c>
      <c r="C484" s="160" t="s">
        <v>3525</v>
      </c>
      <c r="D484" s="161" t="s">
        <v>3526</v>
      </c>
      <c r="E484" s="162" t="s">
        <v>3517</v>
      </c>
      <c r="F484" s="163" t="s">
        <v>17</v>
      </c>
      <c r="G484" s="164">
        <v>50</v>
      </c>
      <c r="H484" s="153">
        <f t="shared" si="15"/>
        <v>450</v>
      </c>
      <c r="I484" s="451">
        <f>+(365+280)/4</f>
        <v>161.25</v>
      </c>
      <c r="J484" s="492">
        <f t="shared" si="16"/>
        <v>611.25</v>
      </c>
      <c r="K484" s="325"/>
      <c r="L484" s="326"/>
    </row>
    <row r="485" spans="1:12" ht="20.25" customHeight="1" x14ac:dyDescent="0.2">
      <c r="A485" s="108">
        <v>481</v>
      </c>
      <c r="B485" s="171" t="s">
        <v>3527</v>
      </c>
      <c r="C485" s="110" t="s">
        <v>3528</v>
      </c>
      <c r="D485" s="111" t="s">
        <v>3529</v>
      </c>
      <c r="E485" s="112" t="s">
        <v>3530</v>
      </c>
      <c r="F485" s="113" t="s">
        <v>8</v>
      </c>
      <c r="G485" s="119">
        <v>100</v>
      </c>
      <c r="H485" s="120">
        <f t="shared" si="15"/>
        <v>400</v>
      </c>
      <c r="I485" s="452">
        <f>+(0+0)/4</f>
        <v>0</v>
      </c>
      <c r="J485" s="490">
        <f t="shared" si="16"/>
        <v>400</v>
      </c>
      <c r="K485" s="327"/>
      <c r="L485" s="328"/>
    </row>
    <row r="486" spans="1:12" ht="20.25" customHeight="1" x14ac:dyDescent="0.2">
      <c r="A486" s="114">
        <v>482</v>
      </c>
      <c r="B486" s="1" t="s">
        <v>3531</v>
      </c>
      <c r="C486" s="6" t="s">
        <v>3532</v>
      </c>
      <c r="D486" s="7" t="s">
        <v>3533</v>
      </c>
      <c r="E486" s="2" t="s">
        <v>3530</v>
      </c>
      <c r="F486" s="99" t="s">
        <v>11</v>
      </c>
      <c r="G486" s="121">
        <v>150</v>
      </c>
      <c r="H486" s="122">
        <f t="shared" si="15"/>
        <v>350</v>
      </c>
      <c r="I486" s="450">
        <f>+(0+0)/4</f>
        <v>0</v>
      </c>
      <c r="J486" s="491">
        <f t="shared" si="16"/>
        <v>350</v>
      </c>
      <c r="K486" s="323"/>
      <c r="L486" s="324"/>
    </row>
    <row r="487" spans="1:12" ht="20.25" customHeight="1" x14ac:dyDescent="0.2">
      <c r="A487" s="114">
        <v>483</v>
      </c>
      <c r="B487" s="1" t="s">
        <v>3534</v>
      </c>
      <c r="C487" s="6" t="s">
        <v>3535</v>
      </c>
      <c r="D487" s="7" t="s">
        <v>3536</v>
      </c>
      <c r="E487" s="2" t="s">
        <v>3530</v>
      </c>
      <c r="F487" s="99" t="s">
        <v>14</v>
      </c>
      <c r="G487" s="121">
        <v>100</v>
      </c>
      <c r="H487" s="122">
        <f t="shared" si="15"/>
        <v>400</v>
      </c>
      <c r="I487" s="450">
        <f>+(0+0)/4</f>
        <v>0</v>
      </c>
      <c r="J487" s="491">
        <f t="shared" si="16"/>
        <v>400</v>
      </c>
      <c r="K487" s="323"/>
      <c r="L487" s="324"/>
    </row>
    <row r="488" spans="1:12" ht="20.25" customHeight="1" thickBot="1" x14ac:dyDescent="0.25">
      <c r="A488" s="158">
        <v>484</v>
      </c>
      <c r="B488" s="159" t="s">
        <v>3537</v>
      </c>
      <c r="C488" s="160" t="s">
        <v>3062</v>
      </c>
      <c r="D488" s="161" t="s">
        <v>3538</v>
      </c>
      <c r="E488" s="162" t="s">
        <v>3530</v>
      </c>
      <c r="F488" s="163" t="s">
        <v>17</v>
      </c>
      <c r="G488" s="164">
        <v>100</v>
      </c>
      <c r="H488" s="153">
        <f t="shared" si="15"/>
        <v>400</v>
      </c>
      <c r="I488" s="451">
        <f>+(0+0)/4</f>
        <v>0</v>
      </c>
      <c r="J488" s="492">
        <f t="shared" si="16"/>
        <v>400</v>
      </c>
      <c r="K488" s="325"/>
      <c r="L488" s="326"/>
    </row>
    <row r="489" spans="1:12" ht="20.25" customHeight="1" x14ac:dyDescent="0.2">
      <c r="A489" s="108">
        <v>485</v>
      </c>
      <c r="B489" s="171" t="s">
        <v>3539</v>
      </c>
      <c r="C489" s="110" t="s">
        <v>2747</v>
      </c>
      <c r="D489" s="111" t="s">
        <v>3540</v>
      </c>
      <c r="E489" s="112" t="s">
        <v>3541</v>
      </c>
      <c r="F489" s="113" t="s">
        <v>8</v>
      </c>
      <c r="G489" s="119">
        <v>150</v>
      </c>
      <c r="H489" s="120">
        <f t="shared" si="15"/>
        <v>350</v>
      </c>
      <c r="I489" s="452">
        <f>+(1155+1195)/4</f>
        <v>587.5</v>
      </c>
      <c r="J489" s="490">
        <f t="shared" si="16"/>
        <v>937.5</v>
      </c>
      <c r="K489" s="327"/>
      <c r="L489" s="328"/>
    </row>
    <row r="490" spans="1:12" ht="20.25" customHeight="1" x14ac:dyDescent="0.2">
      <c r="A490" s="114">
        <v>486</v>
      </c>
      <c r="B490" s="1" t="s">
        <v>3542</v>
      </c>
      <c r="C490" s="6" t="s">
        <v>3543</v>
      </c>
      <c r="D490" s="7" t="s">
        <v>3544</v>
      </c>
      <c r="E490" s="2" t="s">
        <v>3541</v>
      </c>
      <c r="F490" s="99" t="s">
        <v>11</v>
      </c>
      <c r="G490" s="121">
        <v>150</v>
      </c>
      <c r="H490" s="122">
        <f t="shared" si="15"/>
        <v>350</v>
      </c>
      <c r="I490" s="450">
        <f>+(1155+1195)/4</f>
        <v>587.5</v>
      </c>
      <c r="J490" s="491">
        <f t="shared" si="16"/>
        <v>937.5</v>
      </c>
      <c r="K490" s="323"/>
      <c r="L490" s="324"/>
    </row>
    <row r="491" spans="1:12" ht="20.25" customHeight="1" x14ac:dyDescent="0.2">
      <c r="A491" s="114">
        <v>487</v>
      </c>
      <c r="B491" s="1" t="s">
        <v>3545</v>
      </c>
      <c r="C491" s="6" t="s">
        <v>3546</v>
      </c>
      <c r="D491" s="7" t="s">
        <v>3547</v>
      </c>
      <c r="E491" s="2" t="s">
        <v>3541</v>
      </c>
      <c r="F491" s="99" t="s">
        <v>14</v>
      </c>
      <c r="G491" s="121">
        <v>150</v>
      </c>
      <c r="H491" s="122">
        <f t="shared" si="15"/>
        <v>350</v>
      </c>
      <c r="I491" s="450">
        <f>+(1155+1195)/4</f>
        <v>587.5</v>
      </c>
      <c r="J491" s="491">
        <f t="shared" si="16"/>
        <v>937.5</v>
      </c>
      <c r="K491" s="323"/>
      <c r="L491" s="324"/>
    </row>
    <row r="492" spans="1:12" ht="20.25" customHeight="1" thickBot="1" x14ac:dyDescent="0.25">
      <c r="A492" s="158">
        <v>488</v>
      </c>
      <c r="B492" s="159" t="s">
        <v>3548</v>
      </c>
      <c r="C492" s="160" t="s">
        <v>3549</v>
      </c>
      <c r="D492" s="161" t="s">
        <v>3550</v>
      </c>
      <c r="E492" s="162" t="s">
        <v>3541</v>
      </c>
      <c r="F492" s="163" t="s">
        <v>17</v>
      </c>
      <c r="G492" s="164">
        <v>100</v>
      </c>
      <c r="H492" s="153">
        <f t="shared" si="15"/>
        <v>400</v>
      </c>
      <c r="I492" s="451">
        <f>+(1155+1195)/4</f>
        <v>587.5</v>
      </c>
      <c r="J492" s="492">
        <f t="shared" si="16"/>
        <v>987.5</v>
      </c>
      <c r="K492" s="325"/>
      <c r="L492" s="326"/>
    </row>
    <row r="493" spans="1:12" ht="20.25" customHeight="1" x14ac:dyDescent="0.2">
      <c r="A493" s="108">
        <v>489</v>
      </c>
      <c r="B493" s="223"/>
      <c r="C493" s="190" t="s">
        <v>4876</v>
      </c>
      <c r="D493" s="224"/>
      <c r="E493" s="189" t="s">
        <v>3554</v>
      </c>
      <c r="F493" s="190">
        <v>1</v>
      </c>
      <c r="G493" s="225">
        <v>0</v>
      </c>
      <c r="H493" s="191"/>
      <c r="I493" s="287"/>
      <c r="J493" s="490">
        <f t="shared" si="16"/>
        <v>0</v>
      </c>
      <c r="K493" s="330" t="s">
        <v>4876</v>
      </c>
      <c r="L493" s="328"/>
    </row>
    <row r="494" spans="1:12" ht="20.25" customHeight="1" x14ac:dyDescent="0.2">
      <c r="A494" s="114">
        <v>490</v>
      </c>
      <c r="B494" s="47" t="s">
        <v>4975</v>
      </c>
      <c r="C494" s="10" t="s">
        <v>2339</v>
      </c>
      <c r="D494" s="11" t="s">
        <v>4903</v>
      </c>
      <c r="E494" s="5" t="s">
        <v>3554</v>
      </c>
      <c r="F494" s="100">
        <v>2</v>
      </c>
      <c r="G494" s="125">
        <v>50</v>
      </c>
      <c r="H494" s="122">
        <f t="shared" si="15"/>
        <v>450</v>
      </c>
      <c r="I494" s="450">
        <f>+(655+1015)/3</f>
        <v>556.66666666666663</v>
      </c>
      <c r="J494" s="491">
        <f t="shared" si="16"/>
        <v>1006.6666666666666</v>
      </c>
      <c r="K494" s="323"/>
      <c r="L494" s="324"/>
    </row>
    <row r="495" spans="1:12" ht="20.25" customHeight="1" x14ac:dyDescent="0.2">
      <c r="A495" s="114">
        <v>491</v>
      </c>
      <c r="B495" s="47" t="s">
        <v>4976</v>
      </c>
      <c r="C495" s="10" t="s">
        <v>4904</v>
      </c>
      <c r="D495" s="11" t="s">
        <v>4905</v>
      </c>
      <c r="E495" s="5" t="s">
        <v>3554</v>
      </c>
      <c r="F495" s="100">
        <v>3</v>
      </c>
      <c r="G495" s="125">
        <v>50</v>
      </c>
      <c r="H495" s="122">
        <f t="shared" si="15"/>
        <v>450</v>
      </c>
      <c r="I495" s="450">
        <f>+(655+1015)/3</f>
        <v>556.66666666666663</v>
      </c>
      <c r="J495" s="491">
        <f t="shared" si="16"/>
        <v>1006.6666666666666</v>
      </c>
      <c r="K495" s="323"/>
      <c r="L495" s="324"/>
    </row>
    <row r="496" spans="1:12" ht="20.25" customHeight="1" thickBot="1" x14ac:dyDescent="0.25">
      <c r="A496" s="158">
        <v>492</v>
      </c>
      <c r="B496" s="192" t="s">
        <v>3551</v>
      </c>
      <c r="C496" s="193" t="s">
        <v>3552</v>
      </c>
      <c r="D496" s="194" t="s">
        <v>3553</v>
      </c>
      <c r="E496" s="195" t="s">
        <v>3554</v>
      </c>
      <c r="F496" s="196" t="s">
        <v>17</v>
      </c>
      <c r="G496" s="197">
        <v>100</v>
      </c>
      <c r="H496" s="153">
        <f t="shared" si="15"/>
        <v>400</v>
      </c>
      <c r="I496" s="451">
        <f>+(655+1015)/3</f>
        <v>556.66666666666663</v>
      </c>
      <c r="J496" s="492">
        <f t="shared" si="16"/>
        <v>956.66666666666663</v>
      </c>
      <c r="K496" s="325"/>
      <c r="L496" s="326"/>
    </row>
    <row r="497" spans="1:12" ht="20.25" customHeight="1" x14ac:dyDescent="0.2">
      <c r="A497" s="108">
        <v>493</v>
      </c>
      <c r="B497" s="174" t="s">
        <v>3555</v>
      </c>
      <c r="C497" s="175" t="s">
        <v>3308</v>
      </c>
      <c r="D497" s="176" t="s">
        <v>3556</v>
      </c>
      <c r="E497" s="177" t="s">
        <v>3557</v>
      </c>
      <c r="F497" s="178" t="s">
        <v>8</v>
      </c>
      <c r="G497" s="179">
        <v>150</v>
      </c>
      <c r="H497" s="120">
        <f t="shared" si="15"/>
        <v>350</v>
      </c>
      <c r="I497" s="452">
        <f>+(375+5)/4</f>
        <v>95</v>
      </c>
      <c r="J497" s="490">
        <f t="shared" si="16"/>
        <v>445</v>
      </c>
      <c r="K497" s="327"/>
      <c r="L497" s="328"/>
    </row>
    <row r="498" spans="1:12" ht="20.25" customHeight="1" x14ac:dyDescent="0.2">
      <c r="A498" s="114">
        <v>494</v>
      </c>
      <c r="B498" s="47" t="s">
        <v>3558</v>
      </c>
      <c r="C498" s="10" t="s">
        <v>3559</v>
      </c>
      <c r="D498" s="11" t="s">
        <v>3560</v>
      </c>
      <c r="E498" s="5" t="s">
        <v>3557</v>
      </c>
      <c r="F498" s="100" t="s">
        <v>11</v>
      </c>
      <c r="G498" s="125">
        <v>50</v>
      </c>
      <c r="H498" s="122">
        <f t="shared" si="15"/>
        <v>450</v>
      </c>
      <c r="I498" s="450">
        <f>+(375+5)/4</f>
        <v>95</v>
      </c>
      <c r="J498" s="491">
        <f t="shared" si="16"/>
        <v>545</v>
      </c>
      <c r="K498" s="323"/>
      <c r="L498" s="324"/>
    </row>
    <row r="499" spans="1:12" ht="20.25" customHeight="1" x14ac:dyDescent="0.2">
      <c r="A499" s="114">
        <v>495</v>
      </c>
      <c r="B499" s="47" t="s">
        <v>4977</v>
      </c>
      <c r="C499" s="10" t="s">
        <v>4906</v>
      </c>
      <c r="D499" s="11" t="s">
        <v>4907</v>
      </c>
      <c r="E499" s="5" t="s">
        <v>3557</v>
      </c>
      <c r="F499" s="100" t="s">
        <v>14</v>
      </c>
      <c r="G499" s="125">
        <v>150</v>
      </c>
      <c r="H499" s="122">
        <f t="shared" si="15"/>
        <v>350</v>
      </c>
      <c r="I499" s="450">
        <f>+(375+5)/4</f>
        <v>95</v>
      </c>
      <c r="J499" s="491">
        <f t="shared" si="16"/>
        <v>445</v>
      </c>
      <c r="K499" s="323"/>
      <c r="L499" s="324"/>
    </row>
    <row r="500" spans="1:12" ht="20.25" customHeight="1" thickBot="1" x14ac:dyDescent="0.25">
      <c r="A500" s="158">
        <v>496</v>
      </c>
      <c r="B500" s="192" t="s">
        <v>3561</v>
      </c>
      <c r="C500" s="193" t="s">
        <v>3562</v>
      </c>
      <c r="D500" s="194" t="s">
        <v>3563</v>
      </c>
      <c r="E500" s="195" t="s">
        <v>3557</v>
      </c>
      <c r="F500" s="196" t="s">
        <v>17</v>
      </c>
      <c r="G500" s="197">
        <v>50</v>
      </c>
      <c r="H500" s="153">
        <f t="shared" si="15"/>
        <v>450</v>
      </c>
      <c r="I500" s="451">
        <f>+(375+5)/4</f>
        <v>95</v>
      </c>
      <c r="J500" s="492">
        <f t="shared" si="16"/>
        <v>545</v>
      </c>
      <c r="K500" s="325"/>
      <c r="L500" s="326"/>
    </row>
    <row r="501" spans="1:12" ht="20.25" customHeight="1" x14ac:dyDescent="0.2">
      <c r="A501" s="108">
        <v>497</v>
      </c>
      <c r="B501" s="171" t="s">
        <v>3564</v>
      </c>
      <c r="C501" s="110" t="s">
        <v>3565</v>
      </c>
      <c r="D501" s="111" t="s">
        <v>1764</v>
      </c>
      <c r="E501" s="112" t="s">
        <v>3566</v>
      </c>
      <c r="F501" s="113" t="s">
        <v>8</v>
      </c>
      <c r="G501" s="119">
        <v>100</v>
      </c>
      <c r="H501" s="120">
        <f t="shared" si="15"/>
        <v>400</v>
      </c>
      <c r="I501" s="452">
        <f>+(810+1190)/4</f>
        <v>500</v>
      </c>
      <c r="J501" s="490">
        <f t="shared" si="16"/>
        <v>900</v>
      </c>
      <c r="K501" s="327"/>
      <c r="L501" s="328"/>
    </row>
    <row r="502" spans="1:12" ht="20.25" customHeight="1" x14ac:dyDescent="0.2">
      <c r="A502" s="114">
        <v>498</v>
      </c>
      <c r="B502" s="1" t="s">
        <v>3567</v>
      </c>
      <c r="C502" s="6" t="s">
        <v>2397</v>
      </c>
      <c r="D502" s="7" t="s">
        <v>3568</v>
      </c>
      <c r="E502" s="2" t="s">
        <v>3566</v>
      </c>
      <c r="F502" s="99" t="s">
        <v>11</v>
      </c>
      <c r="G502" s="121">
        <v>100</v>
      </c>
      <c r="H502" s="122">
        <f t="shared" si="15"/>
        <v>400</v>
      </c>
      <c r="I502" s="450">
        <f>+(810+1190)/4</f>
        <v>500</v>
      </c>
      <c r="J502" s="491">
        <f t="shared" si="16"/>
        <v>900</v>
      </c>
      <c r="K502" s="323"/>
      <c r="L502" s="324"/>
    </row>
    <row r="503" spans="1:12" ht="20.25" customHeight="1" x14ac:dyDescent="0.2">
      <c r="A503" s="114">
        <v>499</v>
      </c>
      <c r="B503" s="1" t="s">
        <v>3569</v>
      </c>
      <c r="C503" s="6" t="s">
        <v>3570</v>
      </c>
      <c r="D503" s="7" t="s">
        <v>3571</v>
      </c>
      <c r="E503" s="2" t="s">
        <v>3566</v>
      </c>
      <c r="F503" s="99" t="s">
        <v>14</v>
      </c>
      <c r="G503" s="121">
        <v>150</v>
      </c>
      <c r="H503" s="122">
        <f t="shared" si="15"/>
        <v>350</v>
      </c>
      <c r="I503" s="450">
        <f>+(810+1190)/4</f>
        <v>500</v>
      </c>
      <c r="J503" s="491">
        <f t="shared" si="16"/>
        <v>850</v>
      </c>
      <c r="K503" s="323"/>
      <c r="L503" s="324"/>
    </row>
    <row r="504" spans="1:12" ht="20.25" customHeight="1" thickBot="1" x14ac:dyDescent="0.25">
      <c r="A504" s="158">
        <v>500</v>
      </c>
      <c r="B504" s="159" t="s">
        <v>3572</v>
      </c>
      <c r="C504" s="160" t="s">
        <v>3044</v>
      </c>
      <c r="D504" s="161" t="s">
        <v>3573</v>
      </c>
      <c r="E504" s="162" t="s">
        <v>3566</v>
      </c>
      <c r="F504" s="163" t="s">
        <v>17</v>
      </c>
      <c r="G504" s="164">
        <v>100</v>
      </c>
      <c r="H504" s="153">
        <f t="shared" si="15"/>
        <v>400</v>
      </c>
      <c r="I504" s="451">
        <f>+(810+1190)/4</f>
        <v>500</v>
      </c>
      <c r="J504" s="492">
        <f t="shared" si="16"/>
        <v>900</v>
      </c>
      <c r="K504" s="325"/>
      <c r="L504" s="326"/>
    </row>
    <row r="505" spans="1:12" ht="20.25" customHeight="1" x14ac:dyDescent="0.2">
      <c r="A505" s="108">
        <v>501</v>
      </c>
      <c r="B505" s="174" t="s">
        <v>4978</v>
      </c>
      <c r="C505" s="175" t="s">
        <v>4908</v>
      </c>
      <c r="D505" s="176" t="s">
        <v>4909</v>
      </c>
      <c r="E505" s="177" t="s">
        <v>3577</v>
      </c>
      <c r="F505" s="178">
        <v>1</v>
      </c>
      <c r="G505" s="179">
        <v>150</v>
      </c>
      <c r="H505" s="120">
        <f t="shared" si="15"/>
        <v>350</v>
      </c>
      <c r="I505" s="452">
        <f>+(860+0)/4</f>
        <v>215</v>
      </c>
      <c r="J505" s="490">
        <f t="shared" si="16"/>
        <v>565</v>
      </c>
      <c r="K505" s="327"/>
      <c r="L505" s="328"/>
    </row>
    <row r="506" spans="1:12" ht="20.25" customHeight="1" x14ac:dyDescent="0.2">
      <c r="A506" s="114">
        <v>502</v>
      </c>
      <c r="B506" s="47" t="s">
        <v>3574</v>
      </c>
      <c r="C506" s="10" t="s">
        <v>3575</v>
      </c>
      <c r="D506" s="11" t="s">
        <v>3576</v>
      </c>
      <c r="E506" s="5" t="s">
        <v>3577</v>
      </c>
      <c r="F506" s="100" t="s">
        <v>11</v>
      </c>
      <c r="G506" s="125">
        <v>350</v>
      </c>
      <c r="H506" s="122">
        <f t="shared" si="15"/>
        <v>150</v>
      </c>
      <c r="I506" s="450">
        <f>+(860+0)/4</f>
        <v>215</v>
      </c>
      <c r="J506" s="491">
        <f t="shared" si="16"/>
        <v>365</v>
      </c>
      <c r="K506" s="323"/>
      <c r="L506" s="324"/>
    </row>
    <row r="507" spans="1:12" ht="20.25" customHeight="1" x14ac:dyDescent="0.2">
      <c r="A507" s="114">
        <v>503</v>
      </c>
      <c r="B507" s="47" t="s">
        <v>4979</v>
      </c>
      <c r="C507" s="10" t="s">
        <v>4910</v>
      </c>
      <c r="D507" s="11" t="s">
        <v>4911</v>
      </c>
      <c r="E507" s="5">
        <v>2519</v>
      </c>
      <c r="F507" s="100">
        <v>3</v>
      </c>
      <c r="G507" s="125">
        <v>150</v>
      </c>
      <c r="H507" s="122">
        <f t="shared" si="15"/>
        <v>350</v>
      </c>
      <c r="I507" s="450">
        <f>+(860+0)/4</f>
        <v>215</v>
      </c>
      <c r="J507" s="491">
        <f t="shared" si="16"/>
        <v>565</v>
      </c>
      <c r="K507" s="323"/>
      <c r="L507" s="324"/>
    </row>
    <row r="508" spans="1:12" ht="20.25" customHeight="1" thickBot="1" x14ac:dyDescent="0.25">
      <c r="A508" s="158">
        <v>504</v>
      </c>
      <c r="B508" s="192" t="s">
        <v>3578</v>
      </c>
      <c r="C508" s="193" t="s">
        <v>3579</v>
      </c>
      <c r="D508" s="194" t="s">
        <v>3580</v>
      </c>
      <c r="E508" s="195" t="s">
        <v>3577</v>
      </c>
      <c r="F508" s="196" t="s">
        <v>17</v>
      </c>
      <c r="G508" s="197">
        <v>50</v>
      </c>
      <c r="H508" s="153">
        <f t="shared" si="15"/>
        <v>450</v>
      </c>
      <c r="I508" s="451">
        <f>+(860+0)/4</f>
        <v>215</v>
      </c>
      <c r="J508" s="492">
        <f t="shared" si="16"/>
        <v>665</v>
      </c>
      <c r="K508" s="325"/>
      <c r="L508" s="326"/>
    </row>
    <row r="509" spans="1:12" ht="20.25" customHeight="1" x14ac:dyDescent="0.2">
      <c r="A509" s="108">
        <v>505</v>
      </c>
      <c r="B509" s="171" t="s">
        <v>3581</v>
      </c>
      <c r="C509" s="110" t="s">
        <v>3582</v>
      </c>
      <c r="D509" s="111" t="s">
        <v>3583</v>
      </c>
      <c r="E509" s="112" t="s">
        <v>3584</v>
      </c>
      <c r="F509" s="113" t="s">
        <v>8</v>
      </c>
      <c r="G509" s="119">
        <v>150</v>
      </c>
      <c r="H509" s="120">
        <f t="shared" si="15"/>
        <v>350</v>
      </c>
      <c r="I509" s="452">
        <f>+(1830+1530)/4</f>
        <v>840</v>
      </c>
      <c r="J509" s="490">
        <f t="shared" si="16"/>
        <v>1190</v>
      </c>
      <c r="K509" s="327"/>
      <c r="L509" s="328"/>
    </row>
    <row r="510" spans="1:12" ht="20.25" customHeight="1" x14ac:dyDescent="0.2">
      <c r="A510" s="114">
        <v>506</v>
      </c>
      <c r="B510" s="1" t="s">
        <v>3585</v>
      </c>
      <c r="C510" s="6" t="s">
        <v>2455</v>
      </c>
      <c r="D510" s="7" t="s">
        <v>3586</v>
      </c>
      <c r="E510" s="2" t="s">
        <v>3584</v>
      </c>
      <c r="F510" s="99" t="s">
        <v>11</v>
      </c>
      <c r="G510" s="121">
        <v>150</v>
      </c>
      <c r="H510" s="122">
        <f t="shared" si="15"/>
        <v>350</v>
      </c>
      <c r="I510" s="450">
        <f>+(1830+1530)/4</f>
        <v>840</v>
      </c>
      <c r="J510" s="491">
        <f t="shared" si="16"/>
        <v>1190</v>
      </c>
      <c r="K510" s="323"/>
      <c r="L510" s="324"/>
    </row>
    <row r="511" spans="1:12" ht="20.25" customHeight="1" x14ac:dyDescent="0.2">
      <c r="A511" s="114">
        <v>507</v>
      </c>
      <c r="B511" s="1" t="s">
        <v>3587</v>
      </c>
      <c r="C511" s="6" t="s">
        <v>2361</v>
      </c>
      <c r="D511" s="7" t="s">
        <v>3588</v>
      </c>
      <c r="E511" s="2" t="s">
        <v>3584</v>
      </c>
      <c r="F511" s="99" t="s">
        <v>14</v>
      </c>
      <c r="G511" s="121">
        <v>100</v>
      </c>
      <c r="H511" s="122">
        <f t="shared" si="15"/>
        <v>400</v>
      </c>
      <c r="I511" s="450">
        <f>+(1830+1530)/4</f>
        <v>840</v>
      </c>
      <c r="J511" s="491">
        <f t="shared" si="16"/>
        <v>1240</v>
      </c>
      <c r="K511" s="323"/>
      <c r="L511" s="324"/>
    </row>
    <row r="512" spans="1:12" ht="20.25" customHeight="1" thickBot="1" x14ac:dyDescent="0.25">
      <c r="A512" s="158">
        <v>508</v>
      </c>
      <c r="B512" s="159" t="s">
        <v>3589</v>
      </c>
      <c r="C512" s="160" t="s">
        <v>2737</v>
      </c>
      <c r="D512" s="161" t="s">
        <v>3590</v>
      </c>
      <c r="E512" s="162" t="s">
        <v>3584</v>
      </c>
      <c r="F512" s="163" t="s">
        <v>17</v>
      </c>
      <c r="G512" s="164">
        <v>150</v>
      </c>
      <c r="H512" s="153">
        <f t="shared" si="15"/>
        <v>350</v>
      </c>
      <c r="I512" s="451">
        <f>+(1830+1530)/4</f>
        <v>840</v>
      </c>
      <c r="J512" s="492">
        <f t="shared" si="16"/>
        <v>1190</v>
      </c>
      <c r="K512" s="325"/>
      <c r="L512" s="326"/>
    </row>
    <row r="513" spans="1:12" ht="20.25" customHeight="1" x14ac:dyDescent="0.2">
      <c r="A513" s="108">
        <v>509</v>
      </c>
      <c r="B513" s="171" t="s">
        <v>3591</v>
      </c>
      <c r="C513" s="110" t="s">
        <v>3592</v>
      </c>
      <c r="D513" s="111" t="s">
        <v>3593</v>
      </c>
      <c r="E513" s="112" t="s">
        <v>3594</v>
      </c>
      <c r="F513" s="113" t="s">
        <v>8</v>
      </c>
      <c r="G513" s="119">
        <v>50</v>
      </c>
      <c r="H513" s="120">
        <f t="shared" si="15"/>
        <v>450</v>
      </c>
      <c r="I513" s="452">
        <f>+(870+480)/4</f>
        <v>337.5</v>
      </c>
      <c r="J513" s="490">
        <f t="shared" si="16"/>
        <v>787.5</v>
      </c>
      <c r="K513" s="327"/>
      <c r="L513" s="328"/>
    </row>
    <row r="514" spans="1:12" ht="20.25" customHeight="1" x14ac:dyDescent="0.2">
      <c r="A514" s="114">
        <v>510</v>
      </c>
      <c r="B514" s="1" t="s">
        <v>3595</v>
      </c>
      <c r="C514" s="6" t="s">
        <v>3596</v>
      </c>
      <c r="D514" s="7" t="s">
        <v>3597</v>
      </c>
      <c r="E514" s="2" t="s">
        <v>3594</v>
      </c>
      <c r="F514" s="99" t="s">
        <v>11</v>
      </c>
      <c r="G514" s="121">
        <v>100</v>
      </c>
      <c r="H514" s="122">
        <f t="shared" si="15"/>
        <v>400</v>
      </c>
      <c r="I514" s="450">
        <f>+(870+480)/4</f>
        <v>337.5</v>
      </c>
      <c r="J514" s="491">
        <f t="shared" si="16"/>
        <v>737.5</v>
      </c>
      <c r="K514" s="323"/>
      <c r="L514" s="324"/>
    </row>
    <row r="515" spans="1:12" ht="20.25" customHeight="1" x14ac:dyDescent="0.2">
      <c r="A515" s="114">
        <v>511</v>
      </c>
      <c r="B515" s="1" t="s">
        <v>3598</v>
      </c>
      <c r="C515" s="6" t="s">
        <v>3599</v>
      </c>
      <c r="D515" s="7" t="s">
        <v>3600</v>
      </c>
      <c r="E515" s="2" t="s">
        <v>3594</v>
      </c>
      <c r="F515" s="99" t="s">
        <v>14</v>
      </c>
      <c r="G515" s="121">
        <v>50</v>
      </c>
      <c r="H515" s="122">
        <f t="shared" si="15"/>
        <v>450</v>
      </c>
      <c r="I515" s="450">
        <f>+(870+480)/4</f>
        <v>337.5</v>
      </c>
      <c r="J515" s="491">
        <f t="shared" si="16"/>
        <v>787.5</v>
      </c>
      <c r="K515" s="323"/>
      <c r="L515" s="324"/>
    </row>
    <row r="516" spans="1:12" ht="20.25" customHeight="1" thickBot="1" x14ac:dyDescent="0.25">
      <c r="A516" s="158">
        <v>512</v>
      </c>
      <c r="B516" s="159" t="s">
        <v>3601</v>
      </c>
      <c r="C516" s="160" t="s">
        <v>2263</v>
      </c>
      <c r="D516" s="161" t="s">
        <v>3602</v>
      </c>
      <c r="E516" s="162" t="s">
        <v>3594</v>
      </c>
      <c r="F516" s="163" t="s">
        <v>17</v>
      </c>
      <c r="G516" s="164">
        <v>100</v>
      </c>
      <c r="H516" s="153">
        <f t="shared" ref="H516:H579" si="17">500-G516</f>
        <v>400</v>
      </c>
      <c r="I516" s="451">
        <f>+(870+480)/4</f>
        <v>337.5</v>
      </c>
      <c r="J516" s="492">
        <f t="shared" si="16"/>
        <v>737.5</v>
      </c>
      <c r="K516" s="325"/>
      <c r="L516" s="326"/>
    </row>
    <row r="517" spans="1:12" ht="20.25" customHeight="1" x14ac:dyDescent="0.2">
      <c r="A517" s="108">
        <v>513</v>
      </c>
      <c r="B517" s="171" t="s">
        <v>3603</v>
      </c>
      <c r="C517" s="110" t="s">
        <v>3604</v>
      </c>
      <c r="D517" s="111" t="s">
        <v>3605</v>
      </c>
      <c r="E517" s="112" t="s">
        <v>3606</v>
      </c>
      <c r="F517" s="113" t="s">
        <v>8</v>
      </c>
      <c r="G517" s="119">
        <v>50</v>
      </c>
      <c r="H517" s="120">
        <f t="shared" si="17"/>
        <v>450</v>
      </c>
      <c r="I517" s="452">
        <f>+(120+310)/4</f>
        <v>107.5</v>
      </c>
      <c r="J517" s="490">
        <f t="shared" si="16"/>
        <v>557.5</v>
      </c>
      <c r="K517" s="327"/>
      <c r="L517" s="328"/>
    </row>
    <row r="518" spans="1:12" ht="20.25" customHeight="1" x14ac:dyDescent="0.2">
      <c r="A518" s="114">
        <v>514</v>
      </c>
      <c r="B518" s="1" t="s">
        <v>3607</v>
      </c>
      <c r="C518" s="6" t="s">
        <v>3608</v>
      </c>
      <c r="D518" s="7" t="s">
        <v>3609</v>
      </c>
      <c r="E518" s="2" t="s">
        <v>3606</v>
      </c>
      <c r="F518" s="99" t="s">
        <v>11</v>
      </c>
      <c r="G518" s="121">
        <v>100</v>
      </c>
      <c r="H518" s="122">
        <f t="shared" si="17"/>
        <v>400</v>
      </c>
      <c r="I518" s="450">
        <f>+(120+310)/4</f>
        <v>107.5</v>
      </c>
      <c r="J518" s="491">
        <f t="shared" si="16"/>
        <v>507.5</v>
      </c>
      <c r="K518" s="323"/>
      <c r="L518" s="324"/>
    </row>
    <row r="519" spans="1:12" ht="20.25" customHeight="1" x14ac:dyDescent="0.2">
      <c r="A519" s="114">
        <v>515</v>
      </c>
      <c r="B519" s="1" t="s">
        <v>3610</v>
      </c>
      <c r="C519" s="6" t="s">
        <v>3611</v>
      </c>
      <c r="D519" s="7" t="s">
        <v>3612</v>
      </c>
      <c r="E519" s="2" t="s">
        <v>3606</v>
      </c>
      <c r="F519" s="99" t="s">
        <v>14</v>
      </c>
      <c r="G519" s="121">
        <v>50</v>
      </c>
      <c r="H519" s="122">
        <f t="shared" si="17"/>
        <v>450</v>
      </c>
      <c r="I519" s="450">
        <f>+(120+310)/4</f>
        <v>107.5</v>
      </c>
      <c r="J519" s="491">
        <f t="shared" si="16"/>
        <v>557.5</v>
      </c>
      <c r="K519" s="323"/>
      <c r="L519" s="324"/>
    </row>
    <row r="520" spans="1:12" ht="20.25" customHeight="1" thickBot="1" x14ac:dyDescent="0.25">
      <c r="A520" s="158">
        <v>516</v>
      </c>
      <c r="B520" s="159" t="s">
        <v>3613</v>
      </c>
      <c r="C520" s="160" t="s">
        <v>3614</v>
      </c>
      <c r="D520" s="161" t="s">
        <v>3615</v>
      </c>
      <c r="E520" s="162" t="s">
        <v>3606</v>
      </c>
      <c r="F520" s="163" t="s">
        <v>17</v>
      </c>
      <c r="G520" s="164">
        <v>50</v>
      </c>
      <c r="H520" s="153">
        <f t="shared" si="17"/>
        <v>450</v>
      </c>
      <c r="I520" s="451">
        <f>+(120+310)/4</f>
        <v>107.5</v>
      </c>
      <c r="J520" s="492">
        <f t="shared" si="16"/>
        <v>557.5</v>
      </c>
      <c r="K520" s="325"/>
      <c r="L520" s="326"/>
    </row>
    <row r="521" spans="1:12" ht="20.25" customHeight="1" x14ac:dyDescent="0.2">
      <c r="A521" s="108">
        <v>517</v>
      </c>
      <c r="B521" s="171" t="s">
        <v>3616</v>
      </c>
      <c r="C521" s="110" t="s">
        <v>3617</v>
      </c>
      <c r="D521" s="111" t="s">
        <v>3618</v>
      </c>
      <c r="E521" s="112" t="s">
        <v>3619</v>
      </c>
      <c r="F521" s="113" t="s">
        <v>8</v>
      </c>
      <c r="G521" s="119">
        <v>50</v>
      </c>
      <c r="H521" s="120">
        <f t="shared" si="17"/>
        <v>450</v>
      </c>
      <c r="I521" s="452">
        <f>+(1305+1050)/4</f>
        <v>588.75</v>
      </c>
      <c r="J521" s="490">
        <f t="shared" si="16"/>
        <v>1038.75</v>
      </c>
      <c r="K521" s="327"/>
      <c r="L521" s="328"/>
    </row>
    <row r="522" spans="1:12" ht="20.25" customHeight="1" x14ac:dyDescent="0.2">
      <c r="A522" s="114">
        <v>518</v>
      </c>
      <c r="B522" s="1" t="s">
        <v>3620</v>
      </c>
      <c r="C522" s="6" t="s">
        <v>3621</v>
      </c>
      <c r="D522" s="7" t="s">
        <v>3622</v>
      </c>
      <c r="E522" s="2" t="s">
        <v>3619</v>
      </c>
      <c r="F522" s="99" t="s">
        <v>11</v>
      </c>
      <c r="G522" s="121">
        <v>150</v>
      </c>
      <c r="H522" s="122">
        <f t="shared" si="17"/>
        <v>350</v>
      </c>
      <c r="I522" s="450">
        <f>+(1305+1050)/4</f>
        <v>588.75</v>
      </c>
      <c r="J522" s="491">
        <f t="shared" si="16"/>
        <v>938.75</v>
      </c>
      <c r="K522" s="323"/>
      <c r="L522" s="324"/>
    </row>
    <row r="523" spans="1:12" ht="20.25" customHeight="1" x14ac:dyDescent="0.2">
      <c r="A523" s="114">
        <v>519</v>
      </c>
      <c r="B523" s="1" t="s">
        <v>3623</v>
      </c>
      <c r="C523" s="6" t="s">
        <v>3624</v>
      </c>
      <c r="D523" s="7" t="s">
        <v>3625</v>
      </c>
      <c r="E523" s="2" t="s">
        <v>3619</v>
      </c>
      <c r="F523" s="99" t="s">
        <v>14</v>
      </c>
      <c r="G523" s="121">
        <v>50</v>
      </c>
      <c r="H523" s="122">
        <f t="shared" si="17"/>
        <v>450</v>
      </c>
      <c r="I523" s="450">
        <f>+(1305+1050)/4</f>
        <v>588.75</v>
      </c>
      <c r="J523" s="491">
        <f t="shared" si="16"/>
        <v>1038.75</v>
      </c>
      <c r="K523" s="323"/>
      <c r="L523" s="324"/>
    </row>
    <row r="524" spans="1:12" ht="20.25" customHeight="1" thickBot="1" x14ac:dyDescent="0.25">
      <c r="A524" s="158">
        <v>520</v>
      </c>
      <c r="B524" s="159" t="s">
        <v>3626</v>
      </c>
      <c r="C524" s="160" t="s">
        <v>3627</v>
      </c>
      <c r="D524" s="161" t="s">
        <v>3628</v>
      </c>
      <c r="E524" s="162" t="s">
        <v>3619</v>
      </c>
      <c r="F524" s="163" t="s">
        <v>17</v>
      </c>
      <c r="G524" s="164">
        <v>150</v>
      </c>
      <c r="H524" s="153">
        <f t="shared" si="17"/>
        <v>350</v>
      </c>
      <c r="I524" s="451">
        <f>+(1305+1050)/4</f>
        <v>588.75</v>
      </c>
      <c r="J524" s="492">
        <f t="shared" si="16"/>
        <v>938.75</v>
      </c>
      <c r="K524" s="325"/>
      <c r="L524" s="326"/>
    </row>
    <row r="525" spans="1:12" ht="20.25" customHeight="1" x14ac:dyDescent="0.2">
      <c r="A525" s="108">
        <v>521</v>
      </c>
      <c r="B525" s="171" t="s">
        <v>3629</v>
      </c>
      <c r="C525" s="110" t="s">
        <v>2522</v>
      </c>
      <c r="D525" s="111" t="s">
        <v>3630</v>
      </c>
      <c r="E525" s="112" t="s">
        <v>3631</v>
      </c>
      <c r="F525" s="113" t="s">
        <v>8</v>
      </c>
      <c r="G525" s="119">
        <v>100</v>
      </c>
      <c r="H525" s="120">
        <f t="shared" si="17"/>
        <v>400</v>
      </c>
      <c r="I525" s="452">
        <f>+(225+0)/4</f>
        <v>56.25</v>
      </c>
      <c r="J525" s="490">
        <f t="shared" si="16"/>
        <v>456.25</v>
      </c>
      <c r="K525" s="327"/>
      <c r="L525" s="328"/>
    </row>
    <row r="526" spans="1:12" ht="20.25" customHeight="1" x14ac:dyDescent="0.2">
      <c r="A526" s="114">
        <v>522</v>
      </c>
      <c r="B526" s="1" t="s">
        <v>3632</v>
      </c>
      <c r="C526" s="6" t="s">
        <v>2574</v>
      </c>
      <c r="D526" s="7" t="s">
        <v>3633</v>
      </c>
      <c r="E526" s="2" t="s">
        <v>3631</v>
      </c>
      <c r="F526" s="99" t="s">
        <v>11</v>
      </c>
      <c r="G526" s="121">
        <v>150</v>
      </c>
      <c r="H526" s="122">
        <f t="shared" si="17"/>
        <v>350</v>
      </c>
      <c r="I526" s="450">
        <f>+(225+0)/4</f>
        <v>56.25</v>
      </c>
      <c r="J526" s="491">
        <f t="shared" si="16"/>
        <v>406.25</v>
      </c>
      <c r="K526" s="323"/>
      <c r="L526" s="324"/>
    </row>
    <row r="527" spans="1:12" ht="20.25" customHeight="1" x14ac:dyDescent="0.2">
      <c r="A527" s="114">
        <v>523</v>
      </c>
      <c r="B527" s="1" t="s">
        <v>3634</v>
      </c>
      <c r="C527" s="6" t="s">
        <v>3635</v>
      </c>
      <c r="D527" s="7" t="s">
        <v>3636</v>
      </c>
      <c r="E527" s="2" t="s">
        <v>3631</v>
      </c>
      <c r="F527" s="99" t="s">
        <v>14</v>
      </c>
      <c r="G527" s="121">
        <v>100</v>
      </c>
      <c r="H527" s="122">
        <f t="shared" si="17"/>
        <v>400</v>
      </c>
      <c r="I527" s="450">
        <f>+(225+0)/4</f>
        <v>56.25</v>
      </c>
      <c r="J527" s="491">
        <f t="shared" si="16"/>
        <v>456.25</v>
      </c>
      <c r="K527" s="323"/>
      <c r="L527" s="324"/>
    </row>
    <row r="528" spans="1:12" ht="20.25" customHeight="1" thickBot="1" x14ac:dyDescent="0.25">
      <c r="A528" s="158">
        <v>524</v>
      </c>
      <c r="B528" s="159" t="s">
        <v>3637</v>
      </c>
      <c r="C528" s="160" t="s">
        <v>3638</v>
      </c>
      <c r="D528" s="161" t="s">
        <v>3639</v>
      </c>
      <c r="E528" s="162" t="s">
        <v>3631</v>
      </c>
      <c r="F528" s="163" t="s">
        <v>17</v>
      </c>
      <c r="G528" s="164">
        <v>50</v>
      </c>
      <c r="H528" s="153">
        <f t="shared" si="17"/>
        <v>450</v>
      </c>
      <c r="I528" s="451">
        <f>+(225+0)/4</f>
        <v>56.25</v>
      </c>
      <c r="J528" s="492">
        <f t="shared" si="16"/>
        <v>506.25</v>
      </c>
      <c r="K528" s="325"/>
      <c r="L528" s="326"/>
    </row>
    <row r="529" spans="1:12" ht="20.25" customHeight="1" x14ac:dyDescent="0.2">
      <c r="A529" s="108">
        <v>525</v>
      </c>
      <c r="B529" s="174" t="s">
        <v>3640</v>
      </c>
      <c r="C529" s="175" t="s">
        <v>2519</v>
      </c>
      <c r="D529" s="176" t="s">
        <v>3641</v>
      </c>
      <c r="E529" s="177" t="s">
        <v>3642</v>
      </c>
      <c r="F529" s="178" t="s">
        <v>8</v>
      </c>
      <c r="G529" s="179">
        <v>450</v>
      </c>
      <c r="H529" s="120">
        <f t="shared" si="17"/>
        <v>50</v>
      </c>
      <c r="I529" s="452">
        <f>+(980+955)/4</f>
        <v>483.75</v>
      </c>
      <c r="J529" s="490">
        <f t="shared" ref="J529:J592" si="18">SUM(H529:I529)</f>
        <v>533.75</v>
      </c>
      <c r="K529" s="327"/>
      <c r="L529" s="328"/>
    </row>
    <row r="530" spans="1:12" ht="20.25" customHeight="1" x14ac:dyDescent="0.2">
      <c r="A530" s="114">
        <v>526</v>
      </c>
      <c r="B530" s="47" t="s">
        <v>3643</v>
      </c>
      <c r="C530" s="10" t="s">
        <v>3644</v>
      </c>
      <c r="D530" s="11" t="s">
        <v>3645</v>
      </c>
      <c r="E530" s="5" t="s">
        <v>3642</v>
      </c>
      <c r="F530" s="100" t="s">
        <v>11</v>
      </c>
      <c r="G530" s="125">
        <v>200</v>
      </c>
      <c r="H530" s="122">
        <f t="shared" si="17"/>
        <v>300</v>
      </c>
      <c r="I530" s="450">
        <f>+(980+955)/4</f>
        <v>483.75</v>
      </c>
      <c r="J530" s="491">
        <f t="shared" si="18"/>
        <v>783.75</v>
      </c>
      <c r="K530" s="323"/>
      <c r="L530" s="324"/>
    </row>
    <row r="531" spans="1:12" ht="20.25" customHeight="1" x14ac:dyDescent="0.2">
      <c r="A531" s="114">
        <v>527</v>
      </c>
      <c r="B531" s="47" t="s">
        <v>3646</v>
      </c>
      <c r="C531" s="10" t="s">
        <v>3647</v>
      </c>
      <c r="D531" s="11" t="s">
        <v>3648</v>
      </c>
      <c r="E531" s="5" t="s">
        <v>3642</v>
      </c>
      <c r="F531" s="100" t="s">
        <v>14</v>
      </c>
      <c r="G531" s="125">
        <v>50</v>
      </c>
      <c r="H531" s="122">
        <f t="shared" si="17"/>
        <v>450</v>
      </c>
      <c r="I531" s="450">
        <f>+(980+955)/4</f>
        <v>483.75</v>
      </c>
      <c r="J531" s="491">
        <f t="shared" si="18"/>
        <v>933.75</v>
      </c>
      <c r="K531" s="323"/>
      <c r="L531" s="324"/>
    </row>
    <row r="532" spans="1:12" ht="20.25" customHeight="1" thickBot="1" x14ac:dyDescent="0.25">
      <c r="A532" s="158">
        <v>528</v>
      </c>
      <c r="B532" s="192" t="s">
        <v>4980</v>
      </c>
      <c r="C532" s="193" t="s">
        <v>4912</v>
      </c>
      <c r="D532" s="194" t="s">
        <v>4913</v>
      </c>
      <c r="E532" s="195" t="s">
        <v>3642</v>
      </c>
      <c r="F532" s="196" t="s">
        <v>17</v>
      </c>
      <c r="G532" s="197">
        <v>150</v>
      </c>
      <c r="H532" s="153">
        <f t="shared" si="17"/>
        <v>350</v>
      </c>
      <c r="I532" s="451">
        <f>+(980+955)/4</f>
        <v>483.75</v>
      </c>
      <c r="J532" s="492">
        <f t="shared" si="18"/>
        <v>833.75</v>
      </c>
      <c r="K532" s="325"/>
      <c r="L532" s="326"/>
    </row>
    <row r="533" spans="1:12" ht="20.25" customHeight="1" x14ac:dyDescent="0.2">
      <c r="A533" s="108">
        <v>529</v>
      </c>
      <c r="B533" s="174" t="s">
        <v>3649</v>
      </c>
      <c r="C533" s="175" t="s">
        <v>3650</v>
      </c>
      <c r="D533" s="176" t="s">
        <v>2857</v>
      </c>
      <c r="E533" s="177" t="s">
        <v>3651</v>
      </c>
      <c r="F533" s="178" t="s">
        <v>8</v>
      </c>
      <c r="G533" s="179">
        <v>100</v>
      </c>
      <c r="H533" s="120">
        <f t="shared" si="17"/>
        <v>400</v>
      </c>
      <c r="I533" s="452">
        <f>+(935+340)/4</f>
        <v>318.75</v>
      </c>
      <c r="J533" s="490">
        <f t="shared" si="18"/>
        <v>718.75</v>
      </c>
      <c r="K533" s="327"/>
      <c r="L533" s="328"/>
    </row>
    <row r="534" spans="1:12" ht="20.25" customHeight="1" x14ac:dyDescent="0.2">
      <c r="A534" s="114">
        <v>530</v>
      </c>
      <c r="B534" s="47" t="s">
        <v>3652</v>
      </c>
      <c r="C534" s="10" t="s">
        <v>3312</v>
      </c>
      <c r="D534" s="11" t="s">
        <v>1878</v>
      </c>
      <c r="E534" s="5" t="s">
        <v>3651</v>
      </c>
      <c r="F534" s="100" t="s">
        <v>11</v>
      </c>
      <c r="G534" s="125">
        <v>100</v>
      </c>
      <c r="H534" s="122">
        <f t="shared" si="17"/>
        <v>400</v>
      </c>
      <c r="I534" s="450">
        <f>+(935+340)/4</f>
        <v>318.75</v>
      </c>
      <c r="J534" s="491">
        <f t="shared" si="18"/>
        <v>718.75</v>
      </c>
      <c r="K534" s="323"/>
      <c r="L534" s="324"/>
    </row>
    <row r="535" spans="1:12" ht="20.25" customHeight="1" x14ac:dyDescent="0.2">
      <c r="A535" s="114">
        <v>531</v>
      </c>
      <c r="B535" s="47" t="s">
        <v>3653</v>
      </c>
      <c r="C535" s="10" t="s">
        <v>3654</v>
      </c>
      <c r="D535" s="11" t="s">
        <v>3655</v>
      </c>
      <c r="E535" s="5" t="s">
        <v>3651</v>
      </c>
      <c r="F535" s="100" t="s">
        <v>14</v>
      </c>
      <c r="G535" s="125">
        <v>150</v>
      </c>
      <c r="H535" s="122">
        <f t="shared" si="17"/>
        <v>350</v>
      </c>
      <c r="I535" s="450">
        <f>+(935+340)/4</f>
        <v>318.75</v>
      </c>
      <c r="J535" s="491">
        <f t="shared" si="18"/>
        <v>668.75</v>
      </c>
      <c r="K535" s="323"/>
      <c r="L535" s="324"/>
    </row>
    <row r="536" spans="1:12" ht="20.25" customHeight="1" thickBot="1" x14ac:dyDescent="0.25">
      <c r="A536" s="158">
        <v>532</v>
      </c>
      <c r="B536" s="192" t="s">
        <v>4981</v>
      </c>
      <c r="C536" s="193" t="s">
        <v>2423</v>
      </c>
      <c r="D536" s="194" t="s">
        <v>4914</v>
      </c>
      <c r="E536" s="195" t="s">
        <v>3651</v>
      </c>
      <c r="F536" s="196" t="s">
        <v>17</v>
      </c>
      <c r="G536" s="197">
        <v>150</v>
      </c>
      <c r="H536" s="153">
        <f t="shared" si="17"/>
        <v>350</v>
      </c>
      <c r="I536" s="451">
        <f>+(935+340)/4</f>
        <v>318.75</v>
      </c>
      <c r="J536" s="492">
        <f t="shared" si="18"/>
        <v>668.75</v>
      </c>
      <c r="K536" s="325"/>
      <c r="L536" s="326"/>
    </row>
    <row r="537" spans="1:12" ht="20.25" customHeight="1" x14ac:dyDescent="0.2">
      <c r="A537" s="108">
        <v>533</v>
      </c>
      <c r="B537" s="171" t="s">
        <v>3656</v>
      </c>
      <c r="C537" s="110" t="s">
        <v>3023</v>
      </c>
      <c r="D537" s="111" t="s">
        <v>355</v>
      </c>
      <c r="E537" s="112" t="s">
        <v>3657</v>
      </c>
      <c r="F537" s="113" t="s">
        <v>8</v>
      </c>
      <c r="G537" s="119">
        <v>150</v>
      </c>
      <c r="H537" s="120">
        <f t="shared" si="17"/>
        <v>350</v>
      </c>
      <c r="I537" s="452">
        <f>+(555+710)/3</f>
        <v>421.66666666666669</v>
      </c>
      <c r="J537" s="490">
        <f t="shared" si="18"/>
        <v>771.66666666666674</v>
      </c>
      <c r="K537" s="327"/>
      <c r="L537" s="328"/>
    </row>
    <row r="538" spans="1:12" ht="20.25" customHeight="1" x14ac:dyDescent="0.2">
      <c r="A538" s="114">
        <v>534</v>
      </c>
      <c r="B538" s="1" t="s">
        <v>3658</v>
      </c>
      <c r="C538" s="6" t="s">
        <v>2487</v>
      </c>
      <c r="D538" s="7" t="s">
        <v>3659</v>
      </c>
      <c r="E538" s="2" t="s">
        <v>3657</v>
      </c>
      <c r="F538" s="99" t="s">
        <v>11</v>
      </c>
      <c r="G538" s="121">
        <v>150</v>
      </c>
      <c r="H538" s="122">
        <f t="shared" si="17"/>
        <v>350</v>
      </c>
      <c r="I538" s="450">
        <f>+(555+710)/3</f>
        <v>421.66666666666669</v>
      </c>
      <c r="J538" s="491">
        <f t="shared" si="18"/>
        <v>771.66666666666674</v>
      </c>
      <c r="K538" s="323"/>
      <c r="L538" s="324"/>
    </row>
    <row r="539" spans="1:12" ht="20.25" customHeight="1" x14ac:dyDescent="0.2">
      <c r="A539" s="253">
        <v>535</v>
      </c>
      <c r="B539" s="78"/>
      <c r="C539" s="79" t="s">
        <v>4946</v>
      </c>
      <c r="D539" s="80"/>
      <c r="E539" s="77" t="s">
        <v>3657</v>
      </c>
      <c r="F539" s="79" t="s">
        <v>14</v>
      </c>
      <c r="G539" s="131"/>
      <c r="H539" s="132"/>
      <c r="I539" s="290"/>
      <c r="J539" s="499">
        <f t="shared" si="18"/>
        <v>0</v>
      </c>
      <c r="K539" s="336" t="s">
        <v>4946</v>
      </c>
      <c r="L539" s="324"/>
    </row>
    <row r="540" spans="1:12" ht="20.25" customHeight="1" thickBot="1" x14ac:dyDescent="0.25">
      <c r="A540" s="158">
        <v>536</v>
      </c>
      <c r="B540" s="159" t="s">
        <v>3660</v>
      </c>
      <c r="C540" s="160" t="s">
        <v>3661</v>
      </c>
      <c r="D540" s="161" t="s">
        <v>805</v>
      </c>
      <c r="E540" s="162" t="s">
        <v>3657</v>
      </c>
      <c r="F540" s="163" t="s">
        <v>17</v>
      </c>
      <c r="G540" s="164">
        <v>150</v>
      </c>
      <c r="H540" s="153">
        <f t="shared" si="17"/>
        <v>350</v>
      </c>
      <c r="I540" s="451">
        <f>+(555+710)/3</f>
        <v>421.66666666666669</v>
      </c>
      <c r="J540" s="492">
        <f t="shared" si="18"/>
        <v>771.66666666666674</v>
      </c>
      <c r="K540" s="325"/>
      <c r="L540" s="326"/>
    </row>
    <row r="541" spans="1:12" ht="20.25" customHeight="1" x14ac:dyDescent="0.2">
      <c r="A541" s="108">
        <v>537</v>
      </c>
      <c r="B541" s="171" t="s">
        <v>3662</v>
      </c>
      <c r="C541" s="110" t="s">
        <v>3663</v>
      </c>
      <c r="D541" s="111" t="s">
        <v>3664</v>
      </c>
      <c r="E541" s="112" t="s">
        <v>3665</v>
      </c>
      <c r="F541" s="113" t="s">
        <v>8</v>
      </c>
      <c r="G541" s="119">
        <v>150</v>
      </c>
      <c r="H541" s="120">
        <f t="shared" si="17"/>
        <v>350</v>
      </c>
      <c r="I541" s="452">
        <f>+(1545+820)/4</f>
        <v>591.25</v>
      </c>
      <c r="J541" s="490">
        <f t="shared" si="18"/>
        <v>941.25</v>
      </c>
      <c r="K541" s="327"/>
      <c r="L541" s="328"/>
    </row>
    <row r="542" spans="1:12" ht="20.25" customHeight="1" x14ac:dyDescent="0.2">
      <c r="A542" s="114">
        <v>538</v>
      </c>
      <c r="B542" s="1" t="s">
        <v>3666</v>
      </c>
      <c r="C542" s="6" t="s">
        <v>3667</v>
      </c>
      <c r="D542" s="7" t="s">
        <v>3668</v>
      </c>
      <c r="E542" s="2" t="s">
        <v>3665</v>
      </c>
      <c r="F542" s="99" t="s">
        <v>11</v>
      </c>
      <c r="G542" s="121">
        <v>150</v>
      </c>
      <c r="H542" s="122">
        <f t="shared" si="17"/>
        <v>350</v>
      </c>
      <c r="I542" s="450">
        <f>+(1545+820)/4</f>
        <v>591.25</v>
      </c>
      <c r="J542" s="491">
        <f t="shared" si="18"/>
        <v>941.25</v>
      </c>
      <c r="K542" s="323"/>
      <c r="L542" s="324"/>
    </row>
    <row r="543" spans="1:12" ht="20.25" customHeight="1" x14ac:dyDescent="0.2">
      <c r="A543" s="114">
        <v>539</v>
      </c>
      <c r="B543" s="1" t="s">
        <v>3669</v>
      </c>
      <c r="C543" s="6" t="s">
        <v>2670</v>
      </c>
      <c r="D543" s="7" t="s">
        <v>3670</v>
      </c>
      <c r="E543" s="2" t="s">
        <v>3665</v>
      </c>
      <c r="F543" s="99" t="s">
        <v>14</v>
      </c>
      <c r="G543" s="121">
        <v>450</v>
      </c>
      <c r="H543" s="122">
        <f t="shared" si="17"/>
        <v>50</v>
      </c>
      <c r="I543" s="450">
        <f>+(1545+820)/4</f>
        <v>591.25</v>
      </c>
      <c r="J543" s="491">
        <f t="shared" si="18"/>
        <v>641.25</v>
      </c>
      <c r="K543" s="323"/>
      <c r="L543" s="324"/>
    </row>
    <row r="544" spans="1:12" ht="20.25" customHeight="1" thickBot="1" x14ac:dyDescent="0.25">
      <c r="A544" s="158">
        <v>540</v>
      </c>
      <c r="B544" s="159" t="s">
        <v>3671</v>
      </c>
      <c r="C544" s="160" t="s">
        <v>3078</v>
      </c>
      <c r="D544" s="161" t="s">
        <v>3672</v>
      </c>
      <c r="E544" s="162" t="s">
        <v>3665</v>
      </c>
      <c r="F544" s="163" t="s">
        <v>17</v>
      </c>
      <c r="G544" s="164">
        <v>150</v>
      </c>
      <c r="H544" s="153">
        <f t="shared" si="17"/>
        <v>350</v>
      </c>
      <c r="I544" s="451">
        <f>+(1545+820)/4</f>
        <v>591.25</v>
      </c>
      <c r="J544" s="492">
        <f t="shared" si="18"/>
        <v>941.25</v>
      </c>
      <c r="K544" s="325"/>
      <c r="L544" s="326"/>
    </row>
    <row r="545" spans="1:12" ht="20.25" customHeight="1" x14ac:dyDescent="0.2">
      <c r="A545" s="108">
        <v>541</v>
      </c>
      <c r="B545" s="171" t="s">
        <v>3673</v>
      </c>
      <c r="C545" s="110" t="s">
        <v>3170</v>
      </c>
      <c r="D545" s="111" t="s">
        <v>3674</v>
      </c>
      <c r="E545" s="112" t="s">
        <v>3675</v>
      </c>
      <c r="F545" s="113" t="s">
        <v>8</v>
      </c>
      <c r="G545" s="119">
        <v>150</v>
      </c>
      <c r="H545" s="120">
        <f t="shared" si="17"/>
        <v>350</v>
      </c>
      <c r="I545" s="452">
        <f>+(790+380)/4</f>
        <v>292.5</v>
      </c>
      <c r="J545" s="490">
        <f t="shared" si="18"/>
        <v>642.5</v>
      </c>
      <c r="K545" s="327"/>
      <c r="L545" s="328"/>
    </row>
    <row r="546" spans="1:12" ht="20.25" customHeight="1" x14ac:dyDescent="0.2">
      <c r="A546" s="114">
        <v>542</v>
      </c>
      <c r="B546" s="1" t="s">
        <v>3676</v>
      </c>
      <c r="C546" s="6" t="s">
        <v>3677</v>
      </c>
      <c r="D546" s="7" t="s">
        <v>3678</v>
      </c>
      <c r="E546" s="2" t="s">
        <v>3675</v>
      </c>
      <c r="F546" s="99" t="s">
        <v>11</v>
      </c>
      <c r="G546" s="121">
        <v>150</v>
      </c>
      <c r="H546" s="122">
        <f t="shared" si="17"/>
        <v>350</v>
      </c>
      <c r="I546" s="450">
        <f>+(790+380)/4</f>
        <v>292.5</v>
      </c>
      <c r="J546" s="491">
        <f t="shared" si="18"/>
        <v>642.5</v>
      </c>
      <c r="K546" s="323"/>
      <c r="L546" s="324"/>
    </row>
    <row r="547" spans="1:12" ht="20.25" customHeight="1" x14ac:dyDescent="0.2">
      <c r="A547" s="114">
        <v>543</v>
      </c>
      <c r="B547" s="1" t="s">
        <v>3679</v>
      </c>
      <c r="C547" s="6" t="s">
        <v>2712</v>
      </c>
      <c r="D547" s="7" t="s">
        <v>3680</v>
      </c>
      <c r="E547" s="2" t="s">
        <v>3675</v>
      </c>
      <c r="F547" s="99" t="s">
        <v>14</v>
      </c>
      <c r="G547" s="121">
        <v>150</v>
      </c>
      <c r="H547" s="122">
        <f t="shared" si="17"/>
        <v>350</v>
      </c>
      <c r="I547" s="450">
        <f>+(790+380)/4</f>
        <v>292.5</v>
      </c>
      <c r="J547" s="491">
        <f t="shared" si="18"/>
        <v>642.5</v>
      </c>
      <c r="K547" s="323"/>
      <c r="L547" s="324"/>
    </row>
    <row r="548" spans="1:12" ht="20.25" customHeight="1" thickBot="1" x14ac:dyDescent="0.25">
      <c r="A548" s="158">
        <v>544</v>
      </c>
      <c r="B548" s="159" t="s">
        <v>3681</v>
      </c>
      <c r="C548" s="160" t="s">
        <v>2174</v>
      </c>
      <c r="D548" s="161" t="s">
        <v>3682</v>
      </c>
      <c r="E548" s="162" t="s">
        <v>3675</v>
      </c>
      <c r="F548" s="163" t="s">
        <v>17</v>
      </c>
      <c r="G548" s="164">
        <v>150</v>
      </c>
      <c r="H548" s="153">
        <f t="shared" si="17"/>
        <v>350</v>
      </c>
      <c r="I548" s="451">
        <f>+(790+380)/4</f>
        <v>292.5</v>
      </c>
      <c r="J548" s="492">
        <f t="shared" si="18"/>
        <v>642.5</v>
      </c>
      <c r="K548" s="325"/>
      <c r="L548" s="326"/>
    </row>
    <row r="549" spans="1:12" ht="20.25" customHeight="1" x14ac:dyDescent="0.2">
      <c r="A549" s="108">
        <v>545</v>
      </c>
      <c r="B549" s="171" t="s">
        <v>3683</v>
      </c>
      <c r="C549" s="110" t="s">
        <v>3684</v>
      </c>
      <c r="D549" s="111" t="s">
        <v>3685</v>
      </c>
      <c r="E549" s="112" t="s">
        <v>3686</v>
      </c>
      <c r="F549" s="113" t="s">
        <v>8</v>
      </c>
      <c r="G549" s="119">
        <v>50</v>
      </c>
      <c r="H549" s="120">
        <f t="shared" si="17"/>
        <v>450</v>
      </c>
      <c r="I549" s="452">
        <f>+(695+530)/4</f>
        <v>306.25</v>
      </c>
      <c r="J549" s="490">
        <f t="shared" si="18"/>
        <v>756.25</v>
      </c>
      <c r="K549" s="327"/>
      <c r="L549" s="328"/>
    </row>
    <row r="550" spans="1:12" ht="20.25" customHeight="1" x14ac:dyDescent="0.2">
      <c r="A550" s="114">
        <v>546</v>
      </c>
      <c r="B550" s="1" t="s">
        <v>3687</v>
      </c>
      <c r="C550" s="6" t="s">
        <v>3688</v>
      </c>
      <c r="D550" s="7" t="s">
        <v>3689</v>
      </c>
      <c r="E550" s="2" t="s">
        <v>3686</v>
      </c>
      <c r="F550" s="99" t="s">
        <v>11</v>
      </c>
      <c r="G550" s="121">
        <v>50</v>
      </c>
      <c r="H550" s="122">
        <f t="shared" si="17"/>
        <v>450</v>
      </c>
      <c r="I550" s="450">
        <f>+(695+530)/4</f>
        <v>306.25</v>
      </c>
      <c r="J550" s="491">
        <f t="shared" si="18"/>
        <v>756.25</v>
      </c>
      <c r="K550" s="323"/>
      <c r="L550" s="324"/>
    </row>
    <row r="551" spans="1:12" ht="20.25" customHeight="1" x14ac:dyDescent="0.2">
      <c r="A551" s="114">
        <v>547</v>
      </c>
      <c r="B551" s="1" t="s">
        <v>3690</v>
      </c>
      <c r="C551" s="6" t="s">
        <v>2336</v>
      </c>
      <c r="D551" s="7" t="s">
        <v>3691</v>
      </c>
      <c r="E551" s="2" t="s">
        <v>3686</v>
      </c>
      <c r="F551" s="99" t="s">
        <v>14</v>
      </c>
      <c r="G551" s="121">
        <v>50</v>
      </c>
      <c r="H551" s="122">
        <f t="shared" si="17"/>
        <v>450</v>
      </c>
      <c r="I551" s="450">
        <f>+(695+530)/4</f>
        <v>306.25</v>
      </c>
      <c r="J551" s="491">
        <f t="shared" si="18"/>
        <v>756.25</v>
      </c>
      <c r="K551" s="323"/>
      <c r="L551" s="324"/>
    </row>
    <row r="552" spans="1:12" ht="20.25" customHeight="1" thickBot="1" x14ac:dyDescent="0.25">
      <c r="A552" s="158">
        <v>548</v>
      </c>
      <c r="B552" s="159" t="s">
        <v>3692</v>
      </c>
      <c r="C552" s="160" t="s">
        <v>2397</v>
      </c>
      <c r="D552" s="161" t="s">
        <v>3693</v>
      </c>
      <c r="E552" s="162" t="s">
        <v>3686</v>
      </c>
      <c r="F552" s="163" t="s">
        <v>17</v>
      </c>
      <c r="G552" s="164">
        <v>50</v>
      </c>
      <c r="H552" s="153">
        <f t="shared" si="17"/>
        <v>450</v>
      </c>
      <c r="I552" s="451">
        <f>+(695+530)/4</f>
        <v>306.25</v>
      </c>
      <c r="J552" s="492">
        <f t="shared" si="18"/>
        <v>756.25</v>
      </c>
      <c r="K552" s="325"/>
      <c r="L552" s="326"/>
    </row>
    <row r="553" spans="1:12" ht="20.25" customHeight="1" x14ac:dyDescent="0.2">
      <c r="A553" s="108">
        <v>549</v>
      </c>
      <c r="B553" s="174" t="s">
        <v>3694</v>
      </c>
      <c r="C553" s="175" t="s">
        <v>3695</v>
      </c>
      <c r="D553" s="176" t="s">
        <v>3696</v>
      </c>
      <c r="E553" s="177" t="s">
        <v>3697</v>
      </c>
      <c r="F553" s="178" t="s">
        <v>8</v>
      </c>
      <c r="G553" s="179">
        <v>50</v>
      </c>
      <c r="H553" s="120">
        <f t="shared" si="17"/>
        <v>450</v>
      </c>
      <c r="I553" s="452">
        <f>+(720+725)/4</f>
        <v>361.25</v>
      </c>
      <c r="J553" s="490">
        <f t="shared" si="18"/>
        <v>811.25</v>
      </c>
      <c r="K553" s="327"/>
      <c r="L553" s="328"/>
    </row>
    <row r="554" spans="1:12" ht="20.25" customHeight="1" x14ac:dyDescent="0.2">
      <c r="A554" s="114">
        <v>550</v>
      </c>
      <c r="B554" s="47" t="s">
        <v>4982</v>
      </c>
      <c r="C554" s="10" t="s">
        <v>3062</v>
      </c>
      <c r="D554" s="11" t="s">
        <v>4915</v>
      </c>
      <c r="E554" s="5" t="s">
        <v>3697</v>
      </c>
      <c r="F554" s="100" t="s">
        <v>11</v>
      </c>
      <c r="G554" s="125">
        <v>150</v>
      </c>
      <c r="H554" s="122">
        <f t="shared" si="17"/>
        <v>350</v>
      </c>
      <c r="I554" s="450">
        <f>+(720+725)/4</f>
        <v>361.25</v>
      </c>
      <c r="J554" s="491">
        <f t="shared" si="18"/>
        <v>711.25</v>
      </c>
      <c r="K554" s="323"/>
      <c r="L554" s="324"/>
    </row>
    <row r="555" spans="1:12" ht="20.25" customHeight="1" x14ac:dyDescent="0.2">
      <c r="A555" s="114">
        <v>551</v>
      </c>
      <c r="B555" s="47" t="s">
        <v>3698</v>
      </c>
      <c r="C555" s="10" t="s">
        <v>1923</v>
      </c>
      <c r="D555" s="11" t="s">
        <v>3699</v>
      </c>
      <c r="E555" s="5" t="s">
        <v>3697</v>
      </c>
      <c r="F555" s="100" t="s">
        <v>14</v>
      </c>
      <c r="G555" s="125">
        <v>100</v>
      </c>
      <c r="H555" s="122">
        <f t="shared" si="17"/>
        <v>400</v>
      </c>
      <c r="I555" s="450">
        <f>+(720+725)/4</f>
        <v>361.25</v>
      </c>
      <c r="J555" s="491">
        <f t="shared" si="18"/>
        <v>761.25</v>
      </c>
      <c r="K555" s="323"/>
      <c r="L555" s="324"/>
    </row>
    <row r="556" spans="1:12" ht="20.25" customHeight="1" thickBot="1" x14ac:dyDescent="0.25">
      <c r="A556" s="158">
        <v>552</v>
      </c>
      <c r="B556" s="192" t="s">
        <v>3700</v>
      </c>
      <c r="C556" s="193" t="s">
        <v>3701</v>
      </c>
      <c r="D556" s="194" t="s">
        <v>3702</v>
      </c>
      <c r="E556" s="195" t="s">
        <v>3697</v>
      </c>
      <c r="F556" s="196" t="s">
        <v>17</v>
      </c>
      <c r="G556" s="197">
        <v>150</v>
      </c>
      <c r="H556" s="153">
        <f t="shared" si="17"/>
        <v>350</v>
      </c>
      <c r="I556" s="451">
        <f>+(720+725)/4</f>
        <v>361.25</v>
      </c>
      <c r="J556" s="492">
        <f t="shared" si="18"/>
        <v>711.25</v>
      </c>
      <c r="K556" s="325"/>
      <c r="L556" s="326"/>
    </row>
    <row r="557" spans="1:12" ht="20.25" customHeight="1" x14ac:dyDescent="0.2">
      <c r="A557" s="108">
        <v>553</v>
      </c>
      <c r="B557" s="223"/>
      <c r="C557" s="190" t="s">
        <v>4876</v>
      </c>
      <c r="D557" s="224"/>
      <c r="E557" s="189" t="s">
        <v>3705</v>
      </c>
      <c r="F557" s="190">
        <v>1</v>
      </c>
      <c r="G557" s="225">
        <v>0</v>
      </c>
      <c r="H557" s="191"/>
      <c r="I557" s="287"/>
      <c r="J557" s="490">
        <f t="shared" si="18"/>
        <v>0</v>
      </c>
      <c r="K557" s="330" t="s">
        <v>4876</v>
      </c>
      <c r="L557" s="328"/>
    </row>
    <row r="558" spans="1:12" ht="20.25" customHeight="1" x14ac:dyDescent="0.2">
      <c r="A558" s="114">
        <v>554</v>
      </c>
      <c r="B558" s="47" t="s">
        <v>3703</v>
      </c>
      <c r="C558" s="10" t="s">
        <v>2227</v>
      </c>
      <c r="D558" s="11" t="s">
        <v>3704</v>
      </c>
      <c r="E558" s="5" t="s">
        <v>3705</v>
      </c>
      <c r="F558" s="100" t="s">
        <v>11</v>
      </c>
      <c r="G558" s="125">
        <v>100</v>
      </c>
      <c r="H558" s="122">
        <f t="shared" si="17"/>
        <v>400</v>
      </c>
      <c r="I558" s="450">
        <f>+(140+0)/3</f>
        <v>46.666666666666664</v>
      </c>
      <c r="J558" s="491">
        <f t="shared" si="18"/>
        <v>446.66666666666669</v>
      </c>
      <c r="K558" s="323"/>
      <c r="L558" s="324"/>
    </row>
    <row r="559" spans="1:12" ht="20.25" customHeight="1" x14ac:dyDescent="0.2">
      <c r="A559" s="114">
        <v>555</v>
      </c>
      <c r="B559" s="47" t="s">
        <v>4983</v>
      </c>
      <c r="C559" s="10" t="s">
        <v>4916</v>
      </c>
      <c r="D559" s="11" t="s">
        <v>4917</v>
      </c>
      <c r="E559" s="5" t="s">
        <v>3705</v>
      </c>
      <c r="F559" s="100">
        <v>3</v>
      </c>
      <c r="G559" s="125">
        <v>150</v>
      </c>
      <c r="H559" s="122">
        <f t="shared" si="17"/>
        <v>350</v>
      </c>
      <c r="I559" s="450">
        <f>+(140+0)/3</f>
        <v>46.666666666666664</v>
      </c>
      <c r="J559" s="491">
        <f t="shared" si="18"/>
        <v>396.66666666666669</v>
      </c>
      <c r="K559" s="323"/>
      <c r="L559" s="324"/>
    </row>
    <row r="560" spans="1:12" ht="20.25" customHeight="1" thickBot="1" x14ac:dyDescent="0.25">
      <c r="A560" s="158">
        <v>556</v>
      </c>
      <c r="B560" s="192" t="s">
        <v>3706</v>
      </c>
      <c r="C560" s="193" t="s">
        <v>3707</v>
      </c>
      <c r="D560" s="194" t="s">
        <v>3708</v>
      </c>
      <c r="E560" s="195" t="s">
        <v>3705</v>
      </c>
      <c r="F560" s="196" t="s">
        <v>17</v>
      </c>
      <c r="G560" s="197">
        <v>50</v>
      </c>
      <c r="H560" s="153">
        <f t="shared" si="17"/>
        <v>450</v>
      </c>
      <c r="I560" s="451">
        <f>+(140+0)/3</f>
        <v>46.666666666666664</v>
      </c>
      <c r="J560" s="492">
        <f t="shared" si="18"/>
        <v>496.66666666666669</v>
      </c>
      <c r="K560" s="325"/>
      <c r="L560" s="326"/>
    </row>
    <row r="561" spans="1:12" ht="20.25" customHeight="1" x14ac:dyDescent="0.2">
      <c r="A561" s="108">
        <v>557</v>
      </c>
      <c r="B561" s="174" t="s">
        <v>3709</v>
      </c>
      <c r="C561" s="175" t="s">
        <v>3710</v>
      </c>
      <c r="D561" s="176" t="s">
        <v>3711</v>
      </c>
      <c r="E561" s="177" t="s">
        <v>3712</v>
      </c>
      <c r="F561" s="178" t="s">
        <v>8</v>
      </c>
      <c r="G561" s="179">
        <v>100</v>
      </c>
      <c r="H561" s="120">
        <f t="shared" si="17"/>
        <v>400</v>
      </c>
      <c r="I561" s="452">
        <f>+(650+745)/3</f>
        <v>465</v>
      </c>
      <c r="J561" s="490">
        <f t="shared" si="18"/>
        <v>865</v>
      </c>
      <c r="K561" s="327"/>
      <c r="L561" s="328"/>
    </row>
    <row r="562" spans="1:12" ht="20.25" customHeight="1" x14ac:dyDescent="0.2">
      <c r="A562" s="114">
        <v>558</v>
      </c>
      <c r="B562" s="84"/>
      <c r="C562" s="85" t="s">
        <v>4876</v>
      </c>
      <c r="D562" s="86"/>
      <c r="E562" s="83" t="s">
        <v>3712</v>
      </c>
      <c r="F562" s="85" t="s">
        <v>11</v>
      </c>
      <c r="G562" s="156">
        <v>0</v>
      </c>
      <c r="H562" s="155"/>
      <c r="I562" s="292"/>
      <c r="J562" s="491">
        <f t="shared" si="18"/>
        <v>0</v>
      </c>
      <c r="K562" s="338" t="s">
        <v>4876</v>
      </c>
      <c r="L562" s="324"/>
    </row>
    <row r="563" spans="1:12" ht="20.25" customHeight="1" x14ac:dyDescent="0.2">
      <c r="A563" s="114">
        <v>559</v>
      </c>
      <c r="B563" s="47" t="s">
        <v>3713</v>
      </c>
      <c r="C563" s="10" t="s">
        <v>3714</v>
      </c>
      <c r="D563" s="11" t="s">
        <v>3715</v>
      </c>
      <c r="E563" s="5" t="s">
        <v>3712</v>
      </c>
      <c r="F563" s="100" t="s">
        <v>14</v>
      </c>
      <c r="G563" s="125">
        <v>100</v>
      </c>
      <c r="H563" s="122">
        <f t="shared" si="17"/>
        <v>400</v>
      </c>
      <c r="I563" s="450">
        <f>+(650+745)/3</f>
        <v>465</v>
      </c>
      <c r="J563" s="491">
        <f t="shared" si="18"/>
        <v>865</v>
      </c>
      <c r="K563" s="323"/>
      <c r="L563" s="324"/>
    </row>
    <row r="564" spans="1:12" ht="20.25" customHeight="1" thickBot="1" x14ac:dyDescent="0.25">
      <c r="A564" s="158">
        <v>560</v>
      </c>
      <c r="B564" s="192" t="s">
        <v>3716</v>
      </c>
      <c r="C564" s="193" t="s">
        <v>3717</v>
      </c>
      <c r="D564" s="194" t="s">
        <v>3718</v>
      </c>
      <c r="E564" s="195" t="s">
        <v>3712</v>
      </c>
      <c r="F564" s="196" t="s">
        <v>17</v>
      </c>
      <c r="G564" s="197">
        <v>100</v>
      </c>
      <c r="H564" s="153">
        <f t="shared" si="17"/>
        <v>400</v>
      </c>
      <c r="I564" s="451">
        <f>+(650+745)/3</f>
        <v>465</v>
      </c>
      <c r="J564" s="492">
        <f t="shared" si="18"/>
        <v>865</v>
      </c>
      <c r="K564" s="325"/>
      <c r="L564" s="326"/>
    </row>
    <row r="565" spans="1:12" ht="20.25" customHeight="1" x14ac:dyDescent="0.2">
      <c r="A565" s="108">
        <v>561</v>
      </c>
      <c r="B565" s="171" t="s">
        <v>3719</v>
      </c>
      <c r="C565" s="110" t="s">
        <v>2922</v>
      </c>
      <c r="D565" s="111" t="s">
        <v>3674</v>
      </c>
      <c r="E565" s="112" t="s">
        <v>3720</v>
      </c>
      <c r="F565" s="113" t="s">
        <v>8</v>
      </c>
      <c r="G565" s="119">
        <v>100</v>
      </c>
      <c r="H565" s="120">
        <f t="shared" si="17"/>
        <v>400</v>
      </c>
      <c r="I565" s="452">
        <f>+(1260+990)/4</f>
        <v>562.5</v>
      </c>
      <c r="J565" s="490">
        <f t="shared" si="18"/>
        <v>962.5</v>
      </c>
      <c r="K565" s="327"/>
      <c r="L565" s="328"/>
    </row>
    <row r="566" spans="1:12" ht="20.25" customHeight="1" x14ac:dyDescent="0.2">
      <c r="A566" s="114">
        <v>562</v>
      </c>
      <c r="B566" s="1" t="s">
        <v>3721</v>
      </c>
      <c r="C566" s="6" t="s">
        <v>2224</v>
      </c>
      <c r="D566" s="7" t="s">
        <v>3722</v>
      </c>
      <c r="E566" s="2" t="s">
        <v>3720</v>
      </c>
      <c r="F566" s="99" t="s">
        <v>11</v>
      </c>
      <c r="G566" s="121">
        <v>100</v>
      </c>
      <c r="H566" s="122">
        <f t="shared" si="17"/>
        <v>400</v>
      </c>
      <c r="I566" s="450">
        <f>+(1260+990)/4</f>
        <v>562.5</v>
      </c>
      <c r="J566" s="491">
        <f t="shared" si="18"/>
        <v>962.5</v>
      </c>
      <c r="K566" s="323"/>
      <c r="L566" s="324"/>
    </row>
    <row r="567" spans="1:12" ht="20.25" customHeight="1" x14ac:dyDescent="0.2">
      <c r="A567" s="114">
        <v>563</v>
      </c>
      <c r="B567" s="1" t="s">
        <v>3723</v>
      </c>
      <c r="C567" s="6" t="s">
        <v>3724</v>
      </c>
      <c r="D567" s="7" t="s">
        <v>3725</v>
      </c>
      <c r="E567" s="2" t="s">
        <v>3720</v>
      </c>
      <c r="F567" s="99" t="s">
        <v>14</v>
      </c>
      <c r="G567" s="121">
        <v>100</v>
      </c>
      <c r="H567" s="122">
        <f t="shared" si="17"/>
        <v>400</v>
      </c>
      <c r="I567" s="450">
        <f>+(1260+990)/4</f>
        <v>562.5</v>
      </c>
      <c r="J567" s="491">
        <f t="shared" si="18"/>
        <v>962.5</v>
      </c>
      <c r="K567" s="323"/>
      <c r="L567" s="324"/>
    </row>
    <row r="568" spans="1:12" ht="20.25" customHeight="1" thickBot="1" x14ac:dyDescent="0.25">
      <c r="A568" s="158">
        <v>564</v>
      </c>
      <c r="B568" s="159" t="s">
        <v>3726</v>
      </c>
      <c r="C568" s="160" t="s">
        <v>3727</v>
      </c>
      <c r="D568" s="161" t="s">
        <v>3728</v>
      </c>
      <c r="E568" s="162" t="s">
        <v>3720</v>
      </c>
      <c r="F568" s="163" t="s">
        <v>17</v>
      </c>
      <c r="G568" s="164">
        <v>50</v>
      </c>
      <c r="H568" s="153">
        <f t="shared" si="17"/>
        <v>450</v>
      </c>
      <c r="I568" s="451">
        <f>+(1260+990)/4</f>
        <v>562.5</v>
      </c>
      <c r="J568" s="492">
        <f t="shared" si="18"/>
        <v>1012.5</v>
      </c>
      <c r="K568" s="325"/>
      <c r="L568" s="326"/>
    </row>
    <row r="569" spans="1:12" ht="20.25" customHeight="1" x14ac:dyDescent="0.2">
      <c r="A569" s="108">
        <v>565</v>
      </c>
      <c r="B569" s="171" t="s">
        <v>3729</v>
      </c>
      <c r="C569" s="110" t="s">
        <v>2208</v>
      </c>
      <c r="D569" s="111" t="s">
        <v>3730</v>
      </c>
      <c r="E569" s="112" t="s">
        <v>3731</v>
      </c>
      <c r="F569" s="113" t="s">
        <v>8</v>
      </c>
      <c r="G569" s="119">
        <v>100</v>
      </c>
      <c r="H569" s="120">
        <f t="shared" si="17"/>
        <v>400</v>
      </c>
      <c r="I569" s="452">
        <f>+(490+40)/4</f>
        <v>132.5</v>
      </c>
      <c r="J569" s="490">
        <f t="shared" si="18"/>
        <v>532.5</v>
      </c>
      <c r="K569" s="327"/>
      <c r="L569" s="328"/>
    </row>
    <row r="570" spans="1:12" ht="20.25" customHeight="1" x14ac:dyDescent="0.2">
      <c r="A570" s="114">
        <v>566</v>
      </c>
      <c r="B570" s="1" t="s">
        <v>3732</v>
      </c>
      <c r="C570" s="6" t="s">
        <v>3733</v>
      </c>
      <c r="D570" s="7" t="s">
        <v>3734</v>
      </c>
      <c r="E570" s="2" t="s">
        <v>3731</v>
      </c>
      <c r="F570" s="99" t="s">
        <v>11</v>
      </c>
      <c r="G570" s="121">
        <v>150</v>
      </c>
      <c r="H570" s="122">
        <f t="shared" si="17"/>
        <v>350</v>
      </c>
      <c r="I570" s="450">
        <f>+(490+40)/4</f>
        <v>132.5</v>
      </c>
      <c r="J570" s="491">
        <f t="shared" si="18"/>
        <v>482.5</v>
      </c>
      <c r="K570" s="323"/>
      <c r="L570" s="324"/>
    </row>
    <row r="571" spans="1:12" ht="20.25" customHeight="1" x14ac:dyDescent="0.2">
      <c r="A571" s="114">
        <v>567</v>
      </c>
      <c r="B571" s="1" t="s">
        <v>3735</v>
      </c>
      <c r="C571" s="6" t="s">
        <v>3736</v>
      </c>
      <c r="D571" s="7" t="s">
        <v>3737</v>
      </c>
      <c r="E571" s="2" t="s">
        <v>3731</v>
      </c>
      <c r="F571" s="99" t="s">
        <v>14</v>
      </c>
      <c r="G571" s="121">
        <v>50</v>
      </c>
      <c r="H571" s="122">
        <f t="shared" si="17"/>
        <v>450</v>
      </c>
      <c r="I571" s="450">
        <f>+(490+40)/4</f>
        <v>132.5</v>
      </c>
      <c r="J571" s="491">
        <f t="shared" si="18"/>
        <v>582.5</v>
      </c>
      <c r="K571" s="323"/>
      <c r="L571" s="324"/>
    </row>
    <row r="572" spans="1:12" ht="20.25" customHeight="1" thickBot="1" x14ac:dyDescent="0.25">
      <c r="A572" s="158">
        <v>568</v>
      </c>
      <c r="B572" s="159" t="s">
        <v>3738</v>
      </c>
      <c r="C572" s="160" t="s">
        <v>2429</v>
      </c>
      <c r="D572" s="161" t="s">
        <v>3739</v>
      </c>
      <c r="E572" s="162" t="s">
        <v>3731</v>
      </c>
      <c r="F572" s="163" t="s">
        <v>17</v>
      </c>
      <c r="G572" s="164">
        <v>100</v>
      </c>
      <c r="H572" s="153">
        <f t="shared" si="17"/>
        <v>400</v>
      </c>
      <c r="I572" s="451">
        <f>+(490+40)/4</f>
        <v>132.5</v>
      </c>
      <c r="J572" s="492">
        <f t="shared" si="18"/>
        <v>532.5</v>
      </c>
      <c r="K572" s="325"/>
      <c r="L572" s="326"/>
    </row>
    <row r="573" spans="1:12" ht="20.25" customHeight="1" x14ac:dyDescent="0.2">
      <c r="A573" s="108">
        <v>569</v>
      </c>
      <c r="B573" s="223"/>
      <c r="C573" s="190" t="s">
        <v>4876</v>
      </c>
      <c r="D573" s="224"/>
      <c r="E573" s="189" t="s">
        <v>3743</v>
      </c>
      <c r="F573" s="190" t="s">
        <v>8</v>
      </c>
      <c r="G573" s="225">
        <v>0</v>
      </c>
      <c r="H573" s="191"/>
      <c r="I573" s="287"/>
      <c r="J573" s="490">
        <f t="shared" si="18"/>
        <v>0</v>
      </c>
      <c r="K573" s="330" t="s">
        <v>4876</v>
      </c>
      <c r="L573" s="328"/>
    </row>
    <row r="574" spans="1:12" ht="20.25" customHeight="1" x14ac:dyDescent="0.2">
      <c r="A574" s="114">
        <v>570</v>
      </c>
      <c r="B574" s="47" t="s">
        <v>3740</v>
      </c>
      <c r="C574" s="10" t="s">
        <v>3741</v>
      </c>
      <c r="D574" s="11" t="s">
        <v>3742</v>
      </c>
      <c r="E574" s="5" t="s">
        <v>3743</v>
      </c>
      <c r="F574" s="100" t="s">
        <v>11</v>
      </c>
      <c r="G574" s="125">
        <v>50</v>
      </c>
      <c r="H574" s="122">
        <f t="shared" si="17"/>
        <v>450</v>
      </c>
      <c r="I574" s="450">
        <f>+(640+330)/3</f>
        <v>323.33333333333331</v>
      </c>
      <c r="J574" s="491">
        <f t="shared" si="18"/>
        <v>773.33333333333326</v>
      </c>
      <c r="K574" s="323"/>
      <c r="L574" s="324"/>
    </row>
    <row r="575" spans="1:12" ht="20.25" customHeight="1" x14ac:dyDescent="0.2">
      <c r="A575" s="114">
        <v>571</v>
      </c>
      <c r="B575" s="47" t="s">
        <v>3744</v>
      </c>
      <c r="C575" s="10" t="s">
        <v>3596</v>
      </c>
      <c r="D575" s="11" t="s">
        <v>3745</v>
      </c>
      <c r="E575" s="5" t="s">
        <v>3743</v>
      </c>
      <c r="F575" s="100" t="s">
        <v>14</v>
      </c>
      <c r="G575" s="125">
        <v>50</v>
      </c>
      <c r="H575" s="122">
        <f t="shared" si="17"/>
        <v>450</v>
      </c>
      <c r="I575" s="450">
        <f>+(640+330)/3</f>
        <v>323.33333333333331</v>
      </c>
      <c r="J575" s="491">
        <f t="shared" si="18"/>
        <v>773.33333333333326</v>
      </c>
      <c r="K575" s="323"/>
      <c r="L575" s="324"/>
    </row>
    <row r="576" spans="1:12" ht="20.25" customHeight="1" thickBot="1" x14ac:dyDescent="0.25">
      <c r="A576" s="158">
        <v>572</v>
      </c>
      <c r="B576" s="192" t="s">
        <v>3746</v>
      </c>
      <c r="C576" s="193" t="s">
        <v>3747</v>
      </c>
      <c r="D576" s="194" t="s">
        <v>3748</v>
      </c>
      <c r="E576" s="195" t="s">
        <v>3743</v>
      </c>
      <c r="F576" s="196" t="s">
        <v>17</v>
      </c>
      <c r="G576" s="197">
        <v>50</v>
      </c>
      <c r="H576" s="153">
        <f t="shared" si="17"/>
        <v>450</v>
      </c>
      <c r="I576" s="451">
        <f>+(640+330)/3</f>
        <v>323.33333333333331</v>
      </c>
      <c r="J576" s="492">
        <f t="shared" si="18"/>
        <v>773.33333333333326</v>
      </c>
      <c r="K576" s="325"/>
      <c r="L576" s="326"/>
    </row>
    <row r="577" spans="1:12" ht="20.25" customHeight="1" x14ac:dyDescent="0.2">
      <c r="A577" s="108">
        <v>573</v>
      </c>
      <c r="B577" s="171" t="s">
        <v>3749</v>
      </c>
      <c r="C577" s="110" t="s">
        <v>3750</v>
      </c>
      <c r="D577" s="111" t="s">
        <v>3751</v>
      </c>
      <c r="E577" s="112" t="s">
        <v>3752</v>
      </c>
      <c r="F577" s="113" t="s">
        <v>8</v>
      </c>
      <c r="G577" s="119">
        <v>50</v>
      </c>
      <c r="H577" s="120">
        <f t="shared" si="17"/>
        <v>450</v>
      </c>
      <c r="I577" s="452">
        <f>+(425+990)/4</f>
        <v>353.75</v>
      </c>
      <c r="J577" s="490">
        <f t="shared" si="18"/>
        <v>803.75</v>
      </c>
      <c r="K577" s="327"/>
      <c r="L577" s="328"/>
    </row>
    <row r="578" spans="1:12" ht="20.25" customHeight="1" x14ac:dyDescent="0.2">
      <c r="A578" s="114">
        <v>574</v>
      </c>
      <c r="B578" s="1" t="s">
        <v>3753</v>
      </c>
      <c r="C578" s="6" t="s">
        <v>2474</v>
      </c>
      <c r="D578" s="7" t="s">
        <v>3754</v>
      </c>
      <c r="E578" s="2" t="s">
        <v>3752</v>
      </c>
      <c r="F578" s="99" t="s">
        <v>11</v>
      </c>
      <c r="G578" s="121">
        <v>150</v>
      </c>
      <c r="H578" s="122">
        <f t="shared" si="17"/>
        <v>350</v>
      </c>
      <c r="I578" s="450">
        <f>+(425+990)/4</f>
        <v>353.75</v>
      </c>
      <c r="J578" s="491">
        <f t="shared" si="18"/>
        <v>703.75</v>
      </c>
      <c r="K578" s="323"/>
      <c r="L578" s="324"/>
    </row>
    <row r="579" spans="1:12" ht="20.25" customHeight="1" x14ac:dyDescent="0.2">
      <c r="A579" s="114">
        <v>575</v>
      </c>
      <c r="B579" s="1" t="s">
        <v>3755</v>
      </c>
      <c r="C579" s="6" t="s">
        <v>3756</v>
      </c>
      <c r="D579" s="7" t="s">
        <v>3757</v>
      </c>
      <c r="E579" s="2" t="s">
        <v>3752</v>
      </c>
      <c r="F579" s="99" t="s">
        <v>14</v>
      </c>
      <c r="G579" s="121">
        <v>150</v>
      </c>
      <c r="H579" s="122">
        <f t="shared" si="17"/>
        <v>350</v>
      </c>
      <c r="I579" s="450">
        <f>+(425+990)/4</f>
        <v>353.75</v>
      </c>
      <c r="J579" s="491">
        <f t="shared" si="18"/>
        <v>703.75</v>
      </c>
      <c r="K579" s="323"/>
      <c r="L579" s="324"/>
    </row>
    <row r="580" spans="1:12" ht="20.25" customHeight="1" thickBot="1" x14ac:dyDescent="0.25">
      <c r="A580" s="158">
        <v>576</v>
      </c>
      <c r="B580" s="159" t="s">
        <v>3758</v>
      </c>
      <c r="C580" s="160" t="s">
        <v>3759</v>
      </c>
      <c r="D580" s="161" t="s">
        <v>3760</v>
      </c>
      <c r="E580" s="162" t="s">
        <v>3752</v>
      </c>
      <c r="F580" s="163" t="s">
        <v>17</v>
      </c>
      <c r="G580" s="164">
        <v>150</v>
      </c>
      <c r="H580" s="153">
        <f t="shared" ref="H580:H643" si="19">500-G580</f>
        <v>350</v>
      </c>
      <c r="I580" s="451">
        <f>+(425+990)/4</f>
        <v>353.75</v>
      </c>
      <c r="J580" s="492">
        <f t="shared" si="18"/>
        <v>703.75</v>
      </c>
      <c r="K580" s="325"/>
      <c r="L580" s="326"/>
    </row>
    <row r="581" spans="1:12" ht="20.25" customHeight="1" x14ac:dyDescent="0.2">
      <c r="A581" s="108">
        <v>577</v>
      </c>
      <c r="B581" s="223"/>
      <c r="C581" s="190" t="s">
        <v>4876</v>
      </c>
      <c r="D581" s="224"/>
      <c r="E581" s="189" t="s">
        <v>3764</v>
      </c>
      <c r="F581" s="190" t="s">
        <v>8</v>
      </c>
      <c r="G581" s="225">
        <v>0</v>
      </c>
      <c r="H581" s="191"/>
      <c r="I581" s="287"/>
      <c r="J581" s="490">
        <f t="shared" si="18"/>
        <v>0</v>
      </c>
      <c r="K581" s="330" t="s">
        <v>4876</v>
      </c>
      <c r="L581" s="328"/>
    </row>
    <row r="582" spans="1:12" ht="20.25" customHeight="1" x14ac:dyDescent="0.2">
      <c r="A582" s="114">
        <v>578</v>
      </c>
      <c r="B582" s="47" t="s">
        <v>3761</v>
      </c>
      <c r="C582" s="10" t="s">
        <v>3762</v>
      </c>
      <c r="D582" s="11" t="s">
        <v>3763</v>
      </c>
      <c r="E582" s="5" t="s">
        <v>3764</v>
      </c>
      <c r="F582" s="100" t="s">
        <v>11</v>
      </c>
      <c r="G582" s="125">
        <v>50</v>
      </c>
      <c r="H582" s="122">
        <f t="shared" si="19"/>
        <v>450</v>
      </c>
      <c r="I582" s="450">
        <f>+(0+0)/3</f>
        <v>0</v>
      </c>
      <c r="J582" s="491">
        <f t="shared" si="18"/>
        <v>450</v>
      </c>
      <c r="K582" s="323"/>
      <c r="L582" s="324"/>
    </row>
    <row r="583" spans="1:12" ht="20.25" customHeight="1" x14ac:dyDescent="0.2">
      <c r="A583" s="114">
        <v>579</v>
      </c>
      <c r="B583" s="47" t="s">
        <v>3768</v>
      </c>
      <c r="C583" s="10" t="s">
        <v>3769</v>
      </c>
      <c r="D583" s="11" t="s">
        <v>3770</v>
      </c>
      <c r="E583" s="5" t="s">
        <v>3764</v>
      </c>
      <c r="F583" s="100" t="s">
        <v>14</v>
      </c>
      <c r="G583" s="125">
        <v>50</v>
      </c>
      <c r="H583" s="122">
        <f t="shared" si="19"/>
        <v>450</v>
      </c>
      <c r="I583" s="450">
        <f>+(0+0)/3</f>
        <v>0</v>
      </c>
      <c r="J583" s="491">
        <f t="shared" si="18"/>
        <v>450</v>
      </c>
      <c r="K583" s="323"/>
      <c r="L583" s="324"/>
    </row>
    <row r="584" spans="1:12" s="37" customFormat="1" ht="21" customHeight="1" thickBot="1" x14ac:dyDescent="0.25">
      <c r="A584" s="147">
        <v>580</v>
      </c>
      <c r="B584" s="211" t="s">
        <v>3765</v>
      </c>
      <c r="C584" s="212" t="s">
        <v>3766</v>
      </c>
      <c r="D584" s="213" t="s">
        <v>3767</v>
      </c>
      <c r="E584" s="214" t="s">
        <v>3764</v>
      </c>
      <c r="F584" s="215">
        <v>4</v>
      </c>
      <c r="G584" s="216">
        <v>150</v>
      </c>
      <c r="H584" s="247">
        <f t="shared" si="19"/>
        <v>350</v>
      </c>
      <c r="I584" s="295">
        <f>+(0+0)/3</f>
        <v>0</v>
      </c>
      <c r="J584" s="495">
        <f t="shared" si="18"/>
        <v>350</v>
      </c>
      <c r="K584" s="331" t="s">
        <v>4996</v>
      </c>
      <c r="L584" s="332">
        <v>5500</v>
      </c>
    </row>
    <row r="585" spans="1:12" ht="20.25" customHeight="1" x14ac:dyDescent="0.2">
      <c r="A585" s="108">
        <v>581</v>
      </c>
      <c r="B585" s="171" t="s">
        <v>3771</v>
      </c>
      <c r="C585" s="110" t="s">
        <v>2623</v>
      </c>
      <c r="D585" s="111" t="s">
        <v>3772</v>
      </c>
      <c r="E585" s="112" t="s">
        <v>3773</v>
      </c>
      <c r="F585" s="113" t="s">
        <v>8</v>
      </c>
      <c r="G585" s="119">
        <v>100</v>
      </c>
      <c r="H585" s="120">
        <f t="shared" si="19"/>
        <v>400</v>
      </c>
      <c r="I585" s="452">
        <f>+(1435+1065)/4</f>
        <v>625</v>
      </c>
      <c r="J585" s="490">
        <f t="shared" si="18"/>
        <v>1025</v>
      </c>
      <c r="K585" s="327"/>
      <c r="L585" s="328"/>
    </row>
    <row r="586" spans="1:12" ht="20.25" customHeight="1" x14ac:dyDescent="0.2">
      <c r="A586" s="114">
        <v>582</v>
      </c>
      <c r="B586" s="1" t="s">
        <v>3774</v>
      </c>
      <c r="C586" s="6" t="s">
        <v>3717</v>
      </c>
      <c r="D586" s="7" t="s">
        <v>3775</v>
      </c>
      <c r="E586" s="2" t="s">
        <v>3773</v>
      </c>
      <c r="F586" s="99" t="s">
        <v>11</v>
      </c>
      <c r="G586" s="121">
        <v>100</v>
      </c>
      <c r="H586" s="122">
        <f t="shared" si="19"/>
        <v>400</v>
      </c>
      <c r="I586" s="450">
        <f>+(1435+1065)/4</f>
        <v>625</v>
      </c>
      <c r="J586" s="491">
        <f t="shared" si="18"/>
        <v>1025</v>
      </c>
      <c r="K586" s="323"/>
      <c r="L586" s="324"/>
    </row>
    <row r="587" spans="1:12" ht="20.25" customHeight="1" x14ac:dyDescent="0.2">
      <c r="A587" s="114">
        <v>583</v>
      </c>
      <c r="B587" s="1" t="s">
        <v>3776</v>
      </c>
      <c r="C587" s="6" t="s">
        <v>3777</v>
      </c>
      <c r="D587" s="7" t="s">
        <v>3778</v>
      </c>
      <c r="E587" s="2" t="s">
        <v>3773</v>
      </c>
      <c r="F587" s="99" t="s">
        <v>14</v>
      </c>
      <c r="G587" s="121">
        <v>50</v>
      </c>
      <c r="H587" s="122">
        <f t="shared" si="19"/>
        <v>450</v>
      </c>
      <c r="I587" s="450">
        <f>+(1435+1065)/4</f>
        <v>625</v>
      </c>
      <c r="J587" s="491">
        <f t="shared" si="18"/>
        <v>1075</v>
      </c>
      <c r="K587" s="323"/>
      <c r="L587" s="324"/>
    </row>
    <row r="588" spans="1:12" ht="20.25" customHeight="1" thickBot="1" x14ac:dyDescent="0.25">
      <c r="A588" s="158">
        <v>584</v>
      </c>
      <c r="B588" s="159" t="s">
        <v>3779</v>
      </c>
      <c r="C588" s="160" t="s">
        <v>3780</v>
      </c>
      <c r="D588" s="161" t="s">
        <v>3781</v>
      </c>
      <c r="E588" s="162" t="s">
        <v>3773</v>
      </c>
      <c r="F588" s="163" t="s">
        <v>17</v>
      </c>
      <c r="G588" s="164">
        <v>50</v>
      </c>
      <c r="H588" s="153">
        <f t="shared" si="19"/>
        <v>450</v>
      </c>
      <c r="I588" s="451">
        <f>+(1435+1065)/4</f>
        <v>625</v>
      </c>
      <c r="J588" s="492">
        <f t="shared" si="18"/>
        <v>1075</v>
      </c>
      <c r="K588" s="325"/>
      <c r="L588" s="326"/>
    </row>
    <row r="589" spans="1:12" ht="20.25" customHeight="1" x14ac:dyDescent="0.2">
      <c r="A589" s="108">
        <v>585</v>
      </c>
      <c r="B589" s="171" t="s">
        <v>3782</v>
      </c>
      <c r="C589" s="110" t="s">
        <v>3273</v>
      </c>
      <c r="D589" s="111" t="s">
        <v>3783</v>
      </c>
      <c r="E589" s="112" t="s">
        <v>3784</v>
      </c>
      <c r="F589" s="113" t="s">
        <v>8</v>
      </c>
      <c r="G589" s="119">
        <v>50</v>
      </c>
      <c r="H589" s="120">
        <f t="shared" si="19"/>
        <v>450</v>
      </c>
      <c r="I589" s="452">
        <f>+(1025+780)/4</f>
        <v>451.25</v>
      </c>
      <c r="J589" s="490">
        <f t="shared" si="18"/>
        <v>901.25</v>
      </c>
      <c r="K589" s="327"/>
      <c r="L589" s="328"/>
    </row>
    <row r="590" spans="1:12" ht="20.25" customHeight="1" x14ac:dyDescent="0.2">
      <c r="A590" s="114">
        <v>586</v>
      </c>
      <c r="B590" s="1" t="s">
        <v>3785</v>
      </c>
      <c r="C590" s="6" t="s">
        <v>3786</v>
      </c>
      <c r="D590" s="7" t="s">
        <v>3787</v>
      </c>
      <c r="E590" s="2" t="s">
        <v>3784</v>
      </c>
      <c r="F590" s="99" t="s">
        <v>11</v>
      </c>
      <c r="G590" s="121">
        <v>50</v>
      </c>
      <c r="H590" s="122">
        <f t="shared" si="19"/>
        <v>450</v>
      </c>
      <c r="I590" s="450">
        <f>+(1025+780)/4</f>
        <v>451.25</v>
      </c>
      <c r="J590" s="491">
        <f t="shared" si="18"/>
        <v>901.25</v>
      </c>
      <c r="K590" s="323"/>
      <c r="L590" s="324"/>
    </row>
    <row r="591" spans="1:12" ht="20.25" customHeight="1" x14ac:dyDescent="0.2">
      <c r="A591" s="118">
        <v>587</v>
      </c>
      <c r="B591" s="49" t="s">
        <v>3788</v>
      </c>
      <c r="C591" s="43" t="s">
        <v>3789</v>
      </c>
      <c r="D591" s="42" t="s">
        <v>3790</v>
      </c>
      <c r="E591" s="44" t="s">
        <v>3784</v>
      </c>
      <c r="F591" s="103" t="s">
        <v>14</v>
      </c>
      <c r="G591" s="133">
        <v>100</v>
      </c>
      <c r="H591" s="134">
        <f t="shared" si="19"/>
        <v>400</v>
      </c>
      <c r="I591" s="297">
        <f>+(1025+780)/4</f>
        <v>451.25</v>
      </c>
      <c r="J591" s="501">
        <f t="shared" si="18"/>
        <v>851.25</v>
      </c>
      <c r="K591" s="342" t="s">
        <v>4999</v>
      </c>
      <c r="L591" s="343">
        <v>200</v>
      </c>
    </row>
    <row r="592" spans="1:12" ht="20.25" customHeight="1" thickBot="1" x14ac:dyDescent="0.25">
      <c r="A592" s="158">
        <v>588</v>
      </c>
      <c r="B592" s="159" t="s">
        <v>3791</v>
      </c>
      <c r="C592" s="160" t="s">
        <v>3792</v>
      </c>
      <c r="D592" s="161" t="s">
        <v>3793</v>
      </c>
      <c r="E592" s="162" t="s">
        <v>3784</v>
      </c>
      <c r="F592" s="163" t="s">
        <v>17</v>
      </c>
      <c r="G592" s="164">
        <v>150</v>
      </c>
      <c r="H592" s="153">
        <f t="shared" si="19"/>
        <v>350</v>
      </c>
      <c r="I592" s="451">
        <f>+(1025+780)/4</f>
        <v>451.25</v>
      </c>
      <c r="J592" s="492">
        <f t="shared" si="18"/>
        <v>801.25</v>
      </c>
      <c r="K592" s="325"/>
      <c r="L592" s="326"/>
    </row>
    <row r="593" spans="1:12" ht="20.25" customHeight="1" x14ac:dyDescent="0.2">
      <c r="A593" s="108">
        <v>589</v>
      </c>
      <c r="B593" s="171" t="s">
        <v>3794</v>
      </c>
      <c r="C593" s="110" t="s">
        <v>3795</v>
      </c>
      <c r="D593" s="111" t="s">
        <v>3796</v>
      </c>
      <c r="E593" s="112" t="s">
        <v>3797</v>
      </c>
      <c r="F593" s="113" t="s">
        <v>8</v>
      </c>
      <c r="G593" s="119">
        <v>50</v>
      </c>
      <c r="H593" s="120">
        <f t="shared" si="19"/>
        <v>450</v>
      </c>
      <c r="I593" s="452">
        <f>+(0+510)/4</f>
        <v>127.5</v>
      </c>
      <c r="J593" s="490">
        <f t="shared" ref="J593:J656" si="20">SUM(H593:I593)</f>
        <v>577.5</v>
      </c>
      <c r="K593" s="327"/>
      <c r="L593" s="328"/>
    </row>
    <row r="594" spans="1:12" ht="20.25" customHeight="1" x14ac:dyDescent="0.2">
      <c r="A594" s="114">
        <v>590</v>
      </c>
      <c r="B594" s="1" t="s">
        <v>3798</v>
      </c>
      <c r="C594" s="6" t="s">
        <v>3799</v>
      </c>
      <c r="D594" s="7" t="s">
        <v>3800</v>
      </c>
      <c r="E594" s="2" t="s">
        <v>3797</v>
      </c>
      <c r="F594" s="99" t="s">
        <v>11</v>
      </c>
      <c r="G594" s="121">
        <v>50</v>
      </c>
      <c r="H594" s="122">
        <f t="shared" si="19"/>
        <v>450</v>
      </c>
      <c r="I594" s="450">
        <f>+(0+510)/4</f>
        <v>127.5</v>
      </c>
      <c r="J594" s="491">
        <f t="shared" si="20"/>
        <v>577.5</v>
      </c>
      <c r="K594" s="323"/>
      <c r="L594" s="324"/>
    </row>
    <row r="595" spans="1:12" ht="20.25" customHeight="1" x14ac:dyDescent="0.2">
      <c r="A595" s="114">
        <v>591</v>
      </c>
      <c r="B595" s="1" t="s">
        <v>3801</v>
      </c>
      <c r="C595" s="6" t="s">
        <v>3802</v>
      </c>
      <c r="D595" s="7" t="s">
        <v>3803</v>
      </c>
      <c r="E595" s="2" t="s">
        <v>3797</v>
      </c>
      <c r="F595" s="99" t="s">
        <v>14</v>
      </c>
      <c r="G595" s="121">
        <v>350</v>
      </c>
      <c r="H595" s="122">
        <f t="shared" si="19"/>
        <v>150</v>
      </c>
      <c r="I595" s="450">
        <f>+(0+510)/4</f>
        <v>127.5</v>
      </c>
      <c r="J595" s="491">
        <f t="shared" si="20"/>
        <v>277.5</v>
      </c>
      <c r="K595" s="323"/>
      <c r="L595" s="324"/>
    </row>
    <row r="596" spans="1:12" ht="20.25" customHeight="1" thickBot="1" x14ac:dyDescent="0.25">
      <c r="A596" s="158">
        <v>592</v>
      </c>
      <c r="B596" s="159" t="s">
        <v>3804</v>
      </c>
      <c r="C596" s="160" t="s">
        <v>3805</v>
      </c>
      <c r="D596" s="161" t="s">
        <v>3806</v>
      </c>
      <c r="E596" s="162" t="s">
        <v>3797</v>
      </c>
      <c r="F596" s="163" t="s">
        <v>17</v>
      </c>
      <c r="G596" s="164">
        <v>50</v>
      </c>
      <c r="H596" s="153">
        <f t="shared" si="19"/>
        <v>450</v>
      </c>
      <c r="I596" s="451">
        <f>+(0+510)/4</f>
        <v>127.5</v>
      </c>
      <c r="J596" s="492">
        <f t="shared" si="20"/>
        <v>577.5</v>
      </c>
      <c r="K596" s="325"/>
      <c r="L596" s="326"/>
    </row>
    <row r="597" spans="1:12" ht="20.25" customHeight="1" x14ac:dyDescent="0.2">
      <c r="A597" s="108">
        <v>593</v>
      </c>
      <c r="B597" s="174" t="s">
        <v>3807</v>
      </c>
      <c r="C597" s="175" t="s">
        <v>3808</v>
      </c>
      <c r="D597" s="176" t="s">
        <v>3809</v>
      </c>
      <c r="E597" s="177" t="s">
        <v>3810</v>
      </c>
      <c r="F597" s="178" t="s">
        <v>8</v>
      </c>
      <c r="G597" s="179">
        <v>350</v>
      </c>
      <c r="H597" s="120">
        <f t="shared" si="19"/>
        <v>150</v>
      </c>
      <c r="I597" s="452">
        <f>+(2000+1050)/4</f>
        <v>762.5</v>
      </c>
      <c r="J597" s="490">
        <f t="shared" si="20"/>
        <v>912.5</v>
      </c>
      <c r="K597" s="327"/>
      <c r="L597" s="328"/>
    </row>
    <row r="598" spans="1:12" ht="20.25" customHeight="1" x14ac:dyDescent="0.2">
      <c r="A598" s="114">
        <v>594</v>
      </c>
      <c r="B598" s="47" t="s">
        <v>3811</v>
      </c>
      <c r="C598" s="10" t="s">
        <v>3812</v>
      </c>
      <c r="D598" s="11" t="s">
        <v>3813</v>
      </c>
      <c r="E598" s="5" t="s">
        <v>3810</v>
      </c>
      <c r="F598" s="100" t="s">
        <v>11</v>
      </c>
      <c r="G598" s="125">
        <v>100</v>
      </c>
      <c r="H598" s="122">
        <f t="shared" si="19"/>
        <v>400</v>
      </c>
      <c r="I598" s="450">
        <f>+(2000+1050)/4</f>
        <v>762.5</v>
      </c>
      <c r="J598" s="491">
        <f t="shared" si="20"/>
        <v>1162.5</v>
      </c>
      <c r="K598" s="323"/>
      <c r="L598" s="324"/>
    </row>
    <row r="599" spans="1:12" ht="20.25" customHeight="1" x14ac:dyDescent="0.2">
      <c r="A599" s="114">
        <v>595</v>
      </c>
      <c r="B599" s="47" t="s">
        <v>4986</v>
      </c>
      <c r="C599" s="10" t="s">
        <v>4984</v>
      </c>
      <c r="D599" s="11" t="s">
        <v>4985</v>
      </c>
      <c r="E599" s="5" t="s">
        <v>3810</v>
      </c>
      <c r="F599" s="100" t="s">
        <v>14</v>
      </c>
      <c r="G599" s="125">
        <v>150</v>
      </c>
      <c r="H599" s="122">
        <f t="shared" si="19"/>
        <v>350</v>
      </c>
      <c r="I599" s="450">
        <f>+(2000+1050)/4</f>
        <v>762.5</v>
      </c>
      <c r="J599" s="491">
        <f t="shared" si="20"/>
        <v>1112.5</v>
      </c>
      <c r="K599" s="323"/>
      <c r="L599" s="324"/>
    </row>
    <row r="600" spans="1:12" ht="20.25" customHeight="1" thickBot="1" x14ac:dyDescent="0.25">
      <c r="A600" s="158">
        <v>596</v>
      </c>
      <c r="B600" s="192" t="s">
        <v>3814</v>
      </c>
      <c r="C600" s="193" t="s">
        <v>2201</v>
      </c>
      <c r="D600" s="194" t="s">
        <v>3815</v>
      </c>
      <c r="E600" s="195" t="s">
        <v>3810</v>
      </c>
      <c r="F600" s="196" t="s">
        <v>17</v>
      </c>
      <c r="G600" s="197">
        <v>150</v>
      </c>
      <c r="H600" s="153">
        <f t="shared" si="19"/>
        <v>350</v>
      </c>
      <c r="I600" s="451">
        <f>+(2000+1050)/4</f>
        <v>762.5</v>
      </c>
      <c r="J600" s="492">
        <f t="shared" si="20"/>
        <v>1112.5</v>
      </c>
      <c r="K600" s="325"/>
      <c r="L600" s="326"/>
    </row>
    <row r="601" spans="1:12" ht="20.25" customHeight="1" x14ac:dyDescent="0.2">
      <c r="A601" s="108">
        <v>597</v>
      </c>
      <c r="B601" s="171" t="s">
        <v>3816</v>
      </c>
      <c r="C601" s="110" t="s">
        <v>3817</v>
      </c>
      <c r="D601" s="111" t="s">
        <v>3818</v>
      </c>
      <c r="E601" s="112" t="s">
        <v>3819</v>
      </c>
      <c r="F601" s="113" t="s">
        <v>8</v>
      </c>
      <c r="G601" s="119">
        <v>50</v>
      </c>
      <c r="H601" s="120">
        <f t="shared" si="19"/>
        <v>450</v>
      </c>
      <c r="I601" s="452">
        <f>+(1050+1030)/4</f>
        <v>520</v>
      </c>
      <c r="J601" s="490">
        <f t="shared" si="20"/>
        <v>970</v>
      </c>
      <c r="K601" s="327"/>
      <c r="L601" s="328"/>
    </row>
    <row r="602" spans="1:12" ht="20.25" customHeight="1" x14ac:dyDescent="0.2">
      <c r="A602" s="114">
        <v>598</v>
      </c>
      <c r="B602" s="1" t="s">
        <v>3820</v>
      </c>
      <c r="C602" s="6" t="s">
        <v>2349</v>
      </c>
      <c r="D602" s="7" t="s">
        <v>3821</v>
      </c>
      <c r="E602" s="2" t="s">
        <v>3819</v>
      </c>
      <c r="F602" s="99" t="s">
        <v>11</v>
      </c>
      <c r="G602" s="121">
        <v>50</v>
      </c>
      <c r="H602" s="122">
        <f t="shared" si="19"/>
        <v>450</v>
      </c>
      <c r="I602" s="450">
        <f>+(1050+1030)/4</f>
        <v>520</v>
      </c>
      <c r="J602" s="491">
        <f t="shared" si="20"/>
        <v>970</v>
      </c>
      <c r="K602" s="323"/>
      <c r="L602" s="324"/>
    </row>
    <row r="603" spans="1:12" ht="20.25" customHeight="1" x14ac:dyDescent="0.2">
      <c r="A603" s="114">
        <v>599</v>
      </c>
      <c r="B603" s="1" t="s">
        <v>3822</v>
      </c>
      <c r="C603" s="6" t="s">
        <v>3823</v>
      </c>
      <c r="D603" s="7" t="s">
        <v>3824</v>
      </c>
      <c r="E603" s="2" t="s">
        <v>3819</v>
      </c>
      <c r="F603" s="99" t="s">
        <v>14</v>
      </c>
      <c r="G603" s="121">
        <v>50</v>
      </c>
      <c r="H603" s="122">
        <f t="shared" si="19"/>
        <v>450</v>
      </c>
      <c r="I603" s="450">
        <f>+(1050+1030)/4</f>
        <v>520</v>
      </c>
      <c r="J603" s="491">
        <f t="shared" si="20"/>
        <v>970</v>
      </c>
      <c r="K603" s="323"/>
      <c r="L603" s="324"/>
    </row>
    <row r="604" spans="1:12" ht="20.25" customHeight="1" thickBot="1" x14ac:dyDescent="0.25">
      <c r="A604" s="158">
        <v>600</v>
      </c>
      <c r="B604" s="159" t="s">
        <v>3825</v>
      </c>
      <c r="C604" s="160" t="s">
        <v>2519</v>
      </c>
      <c r="D604" s="161" t="s">
        <v>3826</v>
      </c>
      <c r="E604" s="162" t="s">
        <v>3819</v>
      </c>
      <c r="F604" s="163" t="s">
        <v>17</v>
      </c>
      <c r="G604" s="164">
        <v>50</v>
      </c>
      <c r="H604" s="153">
        <f t="shared" si="19"/>
        <v>450</v>
      </c>
      <c r="I604" s="451">
        <f>+(1050+1030)/4</f>
        <v>520</v>
      </c>
      <c r="J604" s="492">
        <f t="shared" si="20"/>
        <v>970</v>
      </c>
      <c r="K604" s="325"/>
      <c r="L604" s="326"/>
    </row>
    <row r="605" spans="1:12" ht="20.25" customHeight="1" x14ac:dyDescent="0.2">
      <c r="A605" s="108">
        <v>601</v>
      </c>
      <c r="B605" s="171" t="s">
        <v>3827</v>
      </c>
      <c r="C605" s="110" t="s">
        <v>3828</v>
      </c>
      <c r="D605" s="111" t="s">
        <v>3829</v>
      </c>
      <c r="E605" s="112" t="s">
        <v>3830</v>
      </c>
      <c r="F605" s="113" t="s">
        <v>8</v>
      </c>
      <c r="G605" s="119">
        <v>50</v>
      </c>
      <c r="H605" s="120">
        <f t="shared" si="19"/>
        <v>450</v>
      </c>
      <c r="I605" s="452">
        <f>+(160+1035)/4</f>
        <v>298.75</v>
      </c>
      <c r="J605" s="490">
        <f t="shared" si="20"/>
        <v>748.75</v>
      </c>
      <c r="K605" s="327"/>
      <c r="L605" s="328"/>
    </row>
    <row r="606" spans="1:12" ht="20.25" customHeight="1" x14ac:dyDescent="0.2">
      <c r="A606" s="114">
        <v>602</v>
      </c>
      <c r="B606" s="1" t="s">
        <v>3831</v>
      </c>
      <c r="C606" s="6" t="s">
        <v>3832</v>
      </c>
      <c r="D606" s="7" t="s">
        <v>3833</v>
      </c>
      <c r="E606" s="2" t="s">
        <v>3830</v>
      </c>
      <c r="F606" s="99" t="s">
        <v>11</v>
      </c>
      <c r="G606" s="121">
        <v>50</v>
      </c>
      <c r="H606" s="122">
        <f t="shared" si="19"/>
        <v>450</v>
      </c>
      <c r="I606" s="450">
        <f>+(160+1035)/4</f>
        <v>298.75</v>
      </c>
      <c r="J606" s="491">
        <f t="shared" si="20"/>
        <v>748.75</v>
      </c>
      <c r="K606" s="323"/>
      <c r="L606" s="324"/>
    </row>
    <row r="607" spans="1:12" ht="20.25" customHeight="1" x14ac:dyDescent="0.2">
      <c r="A607" s="114">
        <v>603</v>
      </c>
      <c r="B607" s="1" t="s">
        <v>3834</v>
      </c>
      <c r="C607" s="6" t="s">
        <v>3835</v>
      </c>
      <c r="D607" s="7" t="s">
        <v>3836</v>
      </c>
      <c r="E607" s="2" t="s">
        <v>3830</v>
      </c>
      <c r="F607" s="99" t="s">
        <v>14</v>
      </c>
      <c r="G607" s="121">
        <v>50</v>
      </c>
      <c r="H607" s="122">
        <f t="shared" si="19"/>
        <v>450</v>
      </c>
      <c r="I607" s="450">
        <f>+(160+1035)/4</f>
        <v>298.75</v>
      </c>
      <c r="J607" s="491">
        <f t="shared" si="20"/>
        <v>748.75</v>
      </c>
      <c r="K607" s="323"/>
      <c r="L607" s="324"/>
    </row>
    <row r="608" spans="1:12" ht="20.25" customHeight="1" thickBot="1" x14ac:dyDescent="0.25">
      <c r="A608" s="158">
        <v>604</v>
      </c>
      <c r="B608" s="159" t="s">
        <v>3837</v>
      </c>
      <c r="C608" s="160" t="s">
        <v>2263</v>
      </c>
      <c r="D608" s="161" t="s">
        <v>3838</v>
      </c>
      <c r="E608" s="162" t="s">
        <v>3830</v>
      </c>
      <c r="F608" s="163" t="s">
        <v>17</v>
      </c>
      <c r="G608" s="164">
        <v>50</v>
      </c>
      <c r="H608" s="153">
        <f t="shared" si="19"/>
        <v>450</v>
      </c>
      <c r="I608" s="451">
        <f>+(160+1035)/4</f>
        <v>298.75</v>
      </c>
      <c r="J608" s="492">
        <f t="shared" si="20"/>
        <v>748.75</v>
      </c>
      <c r="K608" s="325"/>
      <c r="L608" s="326"/>
    </row>
    <row r="609" spans="1:12" ht="20.25" customHeight="1" x14ac:dyDescent="0.2">
      <c r="A609" s="108">
        <v>605</v>
      </c>
      <c r="B609" s="171" t="s">
        <v>3839</v>
      </c>
      <c r="C609" s="110" t="s">
        <v>3840</v>
      </c>
      <c r="D609" s="111" t="s">
        <v>3841</v>
      </c>
      <c r="E609" s="112" t="s">
        <v>3842</v>
      </c>
      <c r="F609" s="113" t="s">
        <v>8</v>
      </c>
      <c r="G609" s="119">
        <v>150</v>
      </c>
      <c r="H609" s="120">
        <f t="shared" si="19"/>
        <v>350</v>
      </c>
      <c r="I609" s="452">
        <f>+(1410+1550)/4</f>
        <v>740</v>
      </c>
      <c r="J609" s="490">
        <f t="shared" si="20"/>
        <v>1090</v>
      </c>
      <c r="K609" s="327"/>
      <c r="L609" s="328"/>
    </row>
    <row r="610" spans="1:12" ht="20.25" customHeight="1" x14ac:dyDescent="0.2">
      <c r="A610" s="114">
        <v>606</v>
      </c>
      <c r="B610" s="1" t="s">
        <v>3843</v>
      </c>
      <c r="C610" s="6" t="s">
        <v>2158</v>
      </c>
      <c r="D610" s="7" t="s">
        <v>3844</v>
      </c>
      <c r="E610" s="2" t="s">
        <v>3842</v>
      </c>
      <c r="F610" s="99" t="s">
        <v>11</v>
      </c>
      <c r="G610" s="121">
        <v>50</v>
      </c>
      <c r="H610" s="122">
        <f t="shared" si="19"/>
        <v>450</v>
      </c>
      <c r="I610" s="450">
        <f>+(1410+1550)/4</f>
        <v>740</v>
      </c>
      <c r="J610" s="491">
        <f t="shared" si="20"/>
        <v>1190</v>
      </c>
      <c r="K610" s="323"/>
      <c r="L610" s="324"/>
    </row>
    <row r="611" spans="1:12" ht="20.25" customHeight="1" x14ac:dyDescent="0.2">
      <c r="A611" s="114">
        <v>607</v>
      </c>
      <c r="B611" s="1" t="s">
        <v>3845</v>
      </c>
      <c r="C611" s="6" t="s">
        <v>3170</v>
      </c>
      <c r="D611" s="7" t="s">
        <v>3846</v>
      </c>
      <c r="E611" s="2" t="s">
        <v>3842</v>
      </c>
      <c r="F611" s="99" t="s">
        <v>14</v>
      </c>
      <c r="G611" s="121">
        <v>150</v>
      </c>
      <c r="H611" s="122">
        <f t="shared" si="19"/>
        <v>350</v>
      </c>
      <c r="I611" s="450">
        <f>+(1410+1550)/4</f>
        <v>740</v>
      </c>
      <c r="J611" s="491">
        <f t="shared" si="20"/>
        <v>1090</v>
      </c>
      <c r="K611" s="323"/>
      <c r="L611" s="324"/>
    </row>
    <row r="612" spans="1:12" ht="20.25" customHeight="1" thickBot="1" x14ac:dyDescent="0.25">
      <c r="A612" s="158">
        <v>608</v>
      </c>
      <c r="B612" s="159" t="s">
        <v>3847</v>
      </c>
      <c r="C612" s="160" t="s">
        <v>2956</v>
      </c>
      <c r="D612" s="161" t="s">
        <v>3848</v>
      </c>
      <c r="E612" s="162" t="s">
        <v>3842</v>
      </c>
      <c r="F612" s="163" t="s">
        <v>17</v>
      </c>
      <c r="G612" s="164">
        <v>150</v>
      </c>
      <c r="H612" s="153">
        <f t="shared" si="19"/>
        <v>350</v>
      </c>
      <c r="I612" s="451">
        <f>+(1410+1550)/4</f>
        <v>740</v>
      </c>
      <c r="J612" s="492">
        <f t="shared" si="20"/>
        <v>1090</v>
      </c>
      <c r="K612" s="325"/>
      <c r="L612" s="326"/>
    </row>
    <row r="613" spans="1:12" ht="20.25" customHeight="1" x14ac:dyDescent="0.2">
      <c r="A613" s="108">
        <v>609</v>
      </c>
      <c r="B613" s="171" t="s">
        <v>3849</v>
      </c>
      <c r="C613" s="110" t="s">
        <v>2737</v>
      </c>
      <c r="D613" s="111" t="s">
        <v>3850</v>
      </c>
      <c r="E613" s="112" t="s">
        <v>3851</v>
      </c>
      <c r="F613" s="113" t="s">
        <v>8</v>
      </c>
      <c r="G613" s="119">
        <v>100</v>
      </c>
      <c r="H613" s="120">
        <f t="shared" si="19"/>
        <v>400</v>
      </c>
      <c r="I613" s="452">
        <f>+(380+340)/4</f>
        <v>180</v>
      </c>
      <c r="J613" s="490">
        <f t="shared" si="20"/>
        <v>580</v>
      </c>
      <c r="K613" s="327"/>
      <c r="L613" s="328"/>
    </row>
    <row r="614" spans="1:12" ht="20.25" customHeight="1" x14ac:dyDescent="0.2">
      <c r="A614" s="114">
        <v>610</v>
      </c>
      <c r="B614" s="1" t="s">
        <v>3852</v>
      </c>
      <c r="C614" s="6" t="s">
        <v>3853</v>
      </c>
      <c r="D614" s="7" t="s">
        <v>3854</v>
      </c>
      <c r="E614" s="2" t="s">
        <v>3851</v>
      </c>
      <c r="F614" s="99" t="s">
        <v>11</v>
      </c>
      <c r="G614" s="121">
        <v>150</v>
      </c>
      <c r="H614" s="122">
        <f t="shared" si="19"/>
        <v>350</v>
      </c>
      <c r="I614" s="450">
        <f>+(380+340)/4</f>
        <v>180</v>
      </c>
      <c r="J614" s="491">
        <f t="shared" si="20"/>
        <v>530</v>
      </c>
      <c r="K614" s="323"/>
      <c r="L614" s="324"/>
    </row>
    <row r="615" spans="1:12" ht="20.25" customHeight="1" x14ac:dyDescent="0.2">
      <c r="A615" s="114">
        <v>611</v>
      </c>
      <c r="B615" s="1" t="s">
        <v>3855</v>
      </c>
      <c r="C615" s="6" t="s">
        <v>2891</v>
      </c>
      <c r="D615" s="7" t="s">
        <v>3856</v>
      </c>
      <c r="E615" s="2" t="s">
        <v>3851</v>
      </c>
      <c r="F615" s="99" t="s">
        <v>14</v>
      </c>
      <c r="G615" s="121">
        <v>100</v>
      </c>
      <c r="H615" s="122">
        <f t="shared" si="19"/>
        <v>400</v>
      </c>
      <c r="I615" s="450">
        <f>+(380+340)/4</f>
        <v>180</v>
      </c>
      <c r="J615" s="491">
        <f t="shared" si="20"/>
        <v>580</v>
      </c>
      <c r="K615" s="323"/>
      <c r="L615" s="324"/>
    </row>
    <row r="616" spans="1:12" ht="20.25" customHeight="1" thickBot="1" x14ac:dyDescent="0.25">
      <c r="A616" s="158">
        <v>612</v>
      </c>
      <c r="B616" s="159" t="s">
        <v>3857</v>
      </c>
      <c r="C616" s="160" t="s">
        <v>3858</v>
      </c>
      <c r="D616" s="161" t="s">
        <v>3859</v>
      </c>
      <c r="E616" s="162" t="s">
        <v>3851</v>
      </c>
      <c r="F616" s="163" t="s">
        <v>17</v>
      </c>
      <c r="G616" s="164">
        <v>100</v>
      </c>
      <c r="H616" s="153">
        <f t="shared" si="19"/>
        <v>400</v>
      </c>
      <c r="I616" s="451">
        <f>+(380+340)/4</f>
        <v>180</v>
      </c>
      <c r="J616" s="492">
        <f t="shared" si="20"/>
        <v>580</v>
      </c>
      <c r="K616" s="325"/>
      <c r="L616" s="326"/>
    </row>
    <row r="617" spans="1:12" ht="20.25" customHeight="1" x14ac:dyDescent="0.2">
      <c r="A617" s="108">
        <v>613</v>
      </c>
      <c r="B617" s="174" t="s">
        <v>3860</v>
      </c>
      <c r="C617" s="175" t="s">
        <v>3308</v>
      </c>
      <c r="D617" s="176" t="s">
        <v>3861</v>
      </c>
      <c r="E617" s="177" t="s">
        <v>3862</v>
      </c>
      <c r="F617" s="178" t="s">
        <v>8</v>
      </c>
      <c r="G617" s="179">
        <v>100</v>
      </c>
      <c r="H617" s="120">
        <f t="shared" si="19"/>
        <v>400</v>
      </c>
      <c r="I617" s="452">
        <f>+(435+20)/4</f>
        <v>113.75</v>
      </c>
      <c r="J617" s="490">
        <f t="shared" si="20"/>
        <v>513.75</v>
      </c>
      <c r="K617" s="327"/>
      <c r="L617" s="328"/>
    </row>
    <row r="618" spans="1:12" ht="20.25" customHeight="1" x14ac:dyDescent="0.2">
      <c r="A618" s="114">
        <v>614</v>
      </c>
      <c r="B618" s="47" t="s">
        <v>3811</v>
      </c>
      <c r="C618" s="10" t="s">
        <v>3812</v>
      </c>
      <c r="D618" s="11" t="s">
        <v>3813</v>
      </c>
      <c r="E618" s="5" t="s">
        <v>3862</v>
      </c>
      <c r="F618" s="100">
        <v>2</v>
      </c>
      <c r="G618" s="125">
        <v>150</v>
      </c>
      <c r="H618" s="122">
        <f t="shared" si="19"/>
        <v>350</v>
      </c>
      <c r="I618" s="450">
        <f>+(435+20)/4</f>
        <v>113.75</v>
      </c>
      <c r="J618" s="491">
        <f t="shared" si="20"/>
        <v>463.75</v>
      </c>
      <c r="K618" s="323"/>
      <c r="L618" s="324"/>
    </row>
    <row r="619" spans="1:12" ht="20.25" customHeight="1" x14ac:dyDescent="0.2">
      <c r="A619" s="114">
        <v>615</v>
      </c>
      <c r="B619" s="47" t="s">
        <v>3863</v>
      </c>
      <c r="C619" s="10" t="s">
        <v>3864</v>
      </c>
      <c r="D619" s="11" t="s">
        <v>3865</v>
      </c>
      <c r="E619" s="5" t="s">
        <v>3862</v>
      </c>
      <c r="F619" s="100" t="s">
        <v>14</v>
      </c>
      <c r="G619" s="125">
        <v>100</v>
      </c>
      <c r="H619" s="122">
        <f t="shared" si="19"/>
        <v>400</v>
      </c>
      <c r="I619" s="450">
        <f>+(435+20)/4</f>
        <v>113.75</v>
      </c>
      <c r="J619" s="491">
        <f t="shared" si="20"/>
        <v>513.75</v>
      </c>
      <c r="K619" s="323"/>
      <c r="L619" s="324"/>
    </row>
    <row r="620" spans="1:12" ht="20.25" customHeight="1" thickBot="1" x14ac:dyDescent="0.25">
      <c r="A620" s="158">
        <v>616</v>
      </c>
      <c r="B620" s="192" t="s">
        <v>3866</v>
      </c>
      <c r="C620" s="193" t="s">
        <v>2589</v>
      </c>
      <c r="D620" s="194" t="s">
        <v>2882</v>
      </c>
      <c r="E620" s="195" t="s">
        <v>3862</v>
      </c>
      <c r="F620" s="196" t="s">
        <v>17</v>
      </c>
      <c r="G620" s="197">
        <v>150</v>
      </c>
      <c r="H620" s="153">
        <f t="shared" si="19"/>
        <v>350</v>
      </c>
      <c r="I620" s="451">
        <f>+(435+20)/4</f>
        <v>113.75</v>
      </c>
      <c r="J620" s="492">
        <f t="shared" si="20"/>
        <v>463.75</v>
      </c>
      <c r="K620" s="325"/>
      <c r="L620" s="326"/>
    </row>
    <row r="621" spans="1:12" ht="20.25" customHeight="1" x14ac:dyDescent="0.2">
      <c r="A621" s="108">
        <v>617</v>
      </c>
      <c r="B621" s="171" t="s">
        <v>3867</v>
      </c>
      <c r="C621" s="110" t="s">
        <v>3792</v>
      </c>
      <c r="D621" s="111" t="s">
        <v>3868</v>
      </c>
      <c r="E621" s="112" t="s">
        <v>3869</v>
      </c>
      <c r="F621" s="113" t="s">
        <v>8</v>
      </c>
      <c r="G621" s="119">
        <v>50</v>
      </c>
      <c r="H621" s="120">
        <f t="shared" si="19"/>
        <v>450</v>
      </c>
      <c r="I621" s="452">
        <f>+(1090+1410)/4</f>
        <v>625</v>
      </c>
      <c r="J621" s="490">
        <f t="shared" si="20"/>
        <v>1075</v>
      </c>
      <c r="K621" s="327"/>
      <c r="L621" s="328"/>
    </row>
    <row r="622" spans="1:12" ht="20.25" customHeight="1" x14ac:dyDescent="0.2">
      <c r="A622" s="114">
        <v>618</v>
      </c>
      <c r="B622" s="1" t="s">
        <v>3870</v>
      </c>
      <c r="C622" s="6" t="s">
        <v>3871</v>
      </c>
      <c r="D622" s="7" t="s">
        <v>3872</v>
      </c>
      <c r="E622" s="2" t="s">
        <v>3869</v>
      </c>
      <c r="F622" s="99" t="s">
        <v>11</v>
      </c>
      <c r="G622" s="121">
        <v>50</v>
      </c>
      <c r="H622" s="122">
        <f t="shared" si="19"/>
        <v>450</v>
      </c>
      <c r="I622" s="450">
        <f>+(1090+1410)/4</f>
        <v>625</v>
      </c>
      <c r="J622" s="491">
        <f t="shared" si="20"/>
        <v>1075</v>
      </c>
      <c r="K622" s="323"/>
      <c r="L622" s="324"/>
    </row>
    <row r="623" spans="1:12" ht="20.25" customHeight="1" x14ac:dyDescent="0.2">
      <c r="A623" s="114">
        <v>619</v>
      </c>
      <c r="B623" s="1" t="s">
        <v>3873</v>
      </c>
      <c r="C623" s="6" t="s">
        <v>3543</v>
      </c>
      <c r="D623" s="7" t="s">
        <v>3874</v>
      </c>
      <c r="E623" s="2" t="s">
        <v>3869</v>
      </c>
      <c r="F623" s="99" t="s">
        <v>14</v>
      </c>
      <c r="G623" s="121">
        <v>50</v>
      </c>
      <c r="H623" s="122">
        <f t="shared" si="19"/>
        <v>450</v>
      </c>
      <c r="I623" s="450">
        <f>+(1090+1410)/4</f>
        <v>625</v>
      </c>
      <c r="J623" s="491">
        <f t="shared" si="20"/>
        <v>1075</v>
      </c>
      <c r="K623" s="323"/>
      <c r="L623" s="324"/>
    </row>
    <row r="624" spans="1:12" ht="20.25" customHeight="1" thickBot="1" x14ac:dyDescent="0.25">
      <c r="A624" s="158">
        <v>620</v>
      </c>
      <c r="B624" s="159" t="s">
        <v>3875</v>
      </c>
      <c r="C624" s="160" t="s">
        <v>2516</v>
      </c>
      <c r="D624" s="161" t="s">
        <v>3876</v>
      </c>
      <c r="E624" s="162" t="s">
        <v>3869</v>
      </c>
      <c r="F624" s="163" t="s">
        <v>17</v>
      </c>
      <c r="G624" s="164">
        <v>50</v>
      </c>
      <c r="H624" s="153">
        <f t="shared" si="19"/>
        <v>450</v>
      </c>
      <c r="I624" s="451">
        <f>+(1090+1410)/4</f>
        <v>625</v>
      </c>
      <c r="J624" s="492">
        <f t="shared" si="20"/>
        <v>1075</v>
      </c>
      <c r="K624" s="325"/>
      <c r="L624" s="326"/>
    </row>
    <row r="625" spans="1:12" ht="20.25" customHeight="1" x14ac:dyDescent="0.2">
      <c r="A625" s="108">
        <v>621</v>
      </c>
      <c r="B625" s="171" t="s">
        <v>3877</v>
      </c>
      <c r="C625" s="110" t="s">
        <v>2196</v>
      </c>
      <c r="D625" s="111" t="s">
        <v>3878</v>
      </c>
      <c r="E625" s="112" t="s">
        <v>3879</v>
      </c>
      <c r="F625" s="113" t="s">
        <v>8</v>
      </c>
      <c r="G625" s="119">
        <v>50</v>
      </c>
      <c r="H625" s="120">
        <f t="shared" si="19"/>
        <v>450</v>
      </c>
      <c r="I625" s="452">
        <f>+(210+1150)/4</f>
        <v>340</v>
      </c>
      <c r="J625" s="490">
        <f t="shared" si="20"/>
        <v>790</v>
      </c>
      <c r="K625" s="327"/>
      <c r="L625" s="328"/>
    </row>
    <row r="626" spans="1:12" ht="20.25" customHeight="1" x14ac:dyDescent="0.2">
      <c r="A626" s="114">
        <v>622</v>
      </c>
      <c r="B626" s="1" t="s">
        <v>3880</v>
      </c>
      <c r="C626" s="6" t="s">
        <v>3881</v>
      </c>
      <c r="D626" s="7" t="s">
        <v>3882</v>
      </c>
      <c r="E626" s="2" t="s">
        <v>3879</v>
      </c>
      <c r="F626" s="99" t="s">
        <v>11</v>
      </c>
      <c r="G626" s="121">
        <v>50</v>
      </c>
      <c r="H626" s="122">
        <f t="shared" si="19"/>
        <v>450</v>
      </c>
      <c r="I626" s="450">
        <f>+(210+1150)/4</f>
        <v>340</v>
      </c>
      <c r="J626" s="491">
        <f t="shared" si="20"/>
        <v>790</v>
      </c>
      <c r="K626" s="323"/>
      <c r="L626" s="324"/>
    </row>
    <row r="627" spans="1:12" ht="20.25" customHeight="1" x14ac:dyDescent="0.2">
      <c r="A627" s="114">
        <v>623</v>
      </c>
      <c r="B627" s="1" t="s">
        <v>3883</v>
      </c>
      <c r="C627" s="6" t="s">
        <v>3884</v>
      </c>
      <c r="D627" s="7" t="s">
        <v>3885</v>
      </c>
      <c r="E627" s="2" t="s">
        <v>3879</v>
      </c>
      <c r="F627" s="99" t="s">
        <v>14</v>
      </c>
      <c r="G627" s="121">
        <v>50</v>
      </c>
      <c r="H627" s="122">
        <f t="shared" si="19"/>
        <v>450</v>
      </c>
      <c r="I627" s="450">
        <f>+(210+1150)/4</f>
        <v>340</v>
      </c>
      <c r="J627" s="491">
        <f t="shared" si="20"/>
        <v>790</v>
      </c>
      <c r="K627" s="323"/>
      <c r="L627" s="324"/>
    </row>
    <row r="628" spans="1:12" ht="20.25" customHeight="1" thickBot="1" x14ac:dyDescent="0.25">
      <c r="A628" s="158">
        <v>624</v>
      </c>
      <c r="B628" s="159" t="s">
        <v>3886</v>
      </c>
      <c r="C628" s="160" t="s">
        <v>3013</v>
      </c>
      <c r="D628" s="161" t="s">
        <v>3887</v>
      </c>
      <c r="E628" s="162" t="s">
        <v>3879</v>
      </c>
      <c r="F628" s="163" t="s">
        <v>17</v>
      </c>
      <c r="G628" s="164">
        <v>50</v>
      </c>
      <c r="H628" s="153">
        <f t="shared" si="19"/>
        <v>450</v>
      </c>
      <c r="I628" s="451">
        <f>+(210+1150)/4</f>
        <v>340</v>
      </c>
      <c r="J628" s="492">
        <f t="shared" si="20"/>
        <v>790</v>
      </c>
      <c r="K628" s="325"/>
      <c r="L628" s="326"/>
    </row>
    <row r="629" spans="1:12" ht="20.25" customHeight="1" x14ac:dyDescent="0.2">
      <c r="A629" s="108">
        <v>625</v>
      </c>
      <c r="B629" s="174" t="s">
        <v>3888</v>
      </c>
      <c r="C629" s="175" t="s">
        <v>3499</v>
      </c>
      <c r="D629" s="176" t="s">
        <v>3889</v>
      </c>
      <c r="E629" s="177" t="s">
        <v>3890</v>
      </c>
      <c r="F629" s="178" t="s">
        <v>8</v>
      </c>
      <c r="G629" s="179">
        <v>100</v>
      </c>
      <c r="H629" s="120">
        <f t="shared" si="19"/>
        <v>400</v>
      </c>
      <c r="I629" s="452">
        <f>+(880+860)/4</f>
        <v>435</v>
      </c>
      <c r="J629" s="490">
        <f t="shared" si="20"/>
        <v>835</v>
      </c>
      <c r="K629" s="327"/>
      <c r="L629" s="328"/>
    </row>
    <row r="630" spans="1:12" ht="20.25" customHeight="1" x14ac:dyDescent="0.2">
      <c r="A630" s="114">
        <v>626</v>
      </c>
      <c r="B630" s="47" t="s">
        <v>3891</v>
      </c>
      <c r="C630" s="10" t="s">
        <v>3892</v>
      </c>
      <c r="D630" s="11" t="s">
        <v>3893</v>
      </c>
      <c r="E630" s="5" t="s">
        <v>3890</v>
      </c>
      <c r="F630" s="100" t="s">
        <v>11</v>
      </c>
      <c r="G630" s="125">
        <v>100</v>
      </c>
      <c r="H630" s="122">
        <f t="shared" si="19"/>
        <v>400</v>
      </c>
      <c r="I630" s="450">
        <f>+(880+860)/4</f>
        <v>435</v>
      </c>
      <c r="J630" s="491">
        <f t="shared" si="20"/>
        <v>835</v>
      </c>
      <c r="K630" s="323"/>
      <c r="L630" s="324"/>
    </row>
    <row r="631" spans="1:12" ht="20.25" customHeight="1" x14ac:dyDescent="0.2">
      <c r="A631" s="114">
        <v>627</v>
      </c>
      <c r="B631" s="47" t="s">
        <v>4920</v>
      </c>
      <c r="C631" s="10" t="s">
        <v>4918</v>
      </c>
      <c r="D631" s="11" t="s">
        <v>4919</v>
      </c>
      <c r="E631" s="5" t="s">
        <v>3890</v>
      </c>
      <c r="F631" s="100" t="s">
        <v>14</v>
      </c>
      <c r="G631" s="125">
        <v>0</v>
      </c>
      <c r="H631" s="122">
        <f t="shared" si="19"/>
        <v>500</v>
      </c>
      <c r="I631" s="450">
        <f>+(880+860)/4</f>
        <v>435</v>
      </c>
      <c r="J631" s="491">
        <f t="shared" si="20"/>
        <v>935</v>
      </c>
      <c r="K631" s="323"/>
      <c r="L631" s="324"/>
    </row>
    <row r="632" spans="1:12" ht="20.25" customHeight="1" thickBot="1" x14ac:dyDescent="0.25">
      <c r="A632" s="158">
        <v>628</v>
      </c>
      <c r="B632" s="192" t="s">
        <v>3894</v>
      </c>
      <c r="C632" s="193" t="s">
        <v>3895</v>
      </c>
      <c r="D632" s="194" t="s">
        <v>3896</v>
      </c>
      <c r="E632" s="195" t="s">
        <v>3890</v>
      </c>
      <c r="F632" s="196" t="s">
        <v>17</v>
      </c>
      <c r="G632" s="197">
        <v>100</v>
      </c>
      <c r="H632" s="153">
        <f t="shared" si="19"/>
        <v>400</v>
      </c>
      <c r="I632" s="451">
        <f>+(880+860)/4</f>
        <v>435</v>
      </c>
      <c r="J632" s="492">
        <f t="shared" si="20"/>
        <v>835</v>
      </c>
      <c r="K632" s="325"/>
      <c r="L632" s="326"/>
    </row>
    <row r="633" spans="1:12" ht="20.25" customHeight="1" x14ac:dyDescent="0.2">
      <c r="A633" s="108">
        <v>629</v>
      </c>
      <c r="B633" s="171" t="s">
        <v>3897</v>
      </c>
      <c r="C633" s="110" t="s">
        <v>3182</v>
      </c>
      <c r="D633" s="111" t="s">
        <v>3898</v>
      </c>
      <c r="E633" s="112" t="s">
        <v>3899</v>
      </c>
      <c r="F633" s="113" t="s">
        <v>8</v>
      </c>
      <c r="G633" s="119">
        <v>50</v>
      </c>
      <c r="H633" s="120">
        <f t="shared" si="19"/>
        <v>450</v>
      </c>
      <c r="I633" s="452">
        <f>+(450+730)/4</f>
        <v>295</v>
      </c>
      <c r="J633" s="490">
        <f t="shared" si="20"/>
        <v>745</v>
      </c>
      <c r="K633" s="327"/>
      <c r="L633" s="328"/>
    </row>
    <row r="634" spans="1:12" ht="20.25" customHeight="1" x14ac:dyDescent="0.2">
      <c r="A634" s="114">
        <v>630</v>
      </c>
      <c r="B634" s="1" t="s">
        <v>3900</v>
      </c>
      <c r="C634" s="6" t="s">
        <v>3901</v>
      </c>
      <c r="D634" s="7" t="s">
        <v>3902</v>
      </c>
      <c r="E634" s="2" t="s">
        <v>3899</v>
      </c>
      <c r="F634" s="99" t="s">
        <v>11</v>
      </c>
      <c r="G634" s="121">
        <v>50</v>
      </c>
      <c r="H634" s="122">
        <f t="shared" si="19"/>
        <v>450</v>
      </c>
      <c r="I634" s="450">
        <f>+(450+730)/4</f>
        <v>295</v>
      </c>
      <c r="J634" s="491">
        <f t="shared" si="20"/>
        <v>745</v>
      </c>
      <c r="K634" s="323"/>
      <c r="L634" s="324"/>
    </row>
    <row r="635" spans="1:12" ht="20.25" customHeight="1" x14ac:dyDescent="0.2">
      <c r="A635" s="114">
        <v>631</v>
      </c>
      <c r="B635" s="1" t="s">
        <v>3903</v>
      </c>
      <c r="C635" s="6" t="s">
        <v>3904</v>
      </c>
      <c r="D635" s="7" t="s">
        <v>3905</v>
      </c>
      <c r="E635" s="2" t="s">
        <v>3899</v>
      </c>
      <c r="F635" s="99" t="s">
        <v>14</v>
      </c>
      <c r="G635" s="121">
        <v>50</v>
      </c>
      <c r="H635" s="122">
        <f t="shared" si="19"/>
        <v>450</v>
      </c>
      <c r="I635" s="450">
        <f>+(450+730)/4</f>
        <v>295</v>
      </c>
      <c r="J635" s="491">
        <f t="shared" si="20"/>
        <v>745</v>
      </c>
      <c r="K635" s="323"/>
      <c r="L635" s="324"/>
    </row>
    <row r="636" spans="1:12" ht="20.25" customHeight="1" thickBot="1" x14ac:dyDescent="0.25">
      <c r="A636" s="158">
        <v>632</v>
      </c>
      <c r="B636" s="159" t="s">
        <v>3906</v>
      </c>
      <c r="C636" s="160" t="s">
        <v>3907</v>
      </c>
      <c r="D636" s="161" t="s">
        <v>3908</v>
      </c>
      <c r="E636" s="162" t="s">
        <v>3899</v>
      </c>
      <c r="F636" s="163" t="s">
        <v>17</v>
      </c>
      <c r="G636" s="164">
        <v>150</v>
      </c>
      <c r="H636" s="153">
        <f t="shared" si="19"/>
        <v>350</v>
      </c>
      <c r="I636" s="451">
        <f>+(450+730)/4</f>
        <v>295</v>
      </c>
      <c r="J636" s="492">
        <f t="shared" si="20"/>
        <v>645</v>
      </c>
      <c r="K636" s="325"/>
      <c r="L636" s="326"/>
    </row>
    <row r="637" spans="1:12" ht="20.25" customHeight="1" x14ac:dyDescent="0.2">
      <c r="A637" s="108">
        <v>633</v>
      </c>
      <c r="B637" s="171" t="s">
        <v>3909</v>
      </c>
      <c r="C637" s="110" t="s">
        <v>3214</v>
      </c>
      <c r="D637" s="111" t="s">
        <v>3910</v>
      </c>
      <c r="E637" s="112" t="s">
        <v>3911</v>
      </c>
      <c r="F637" s="113" t="s">
        <v>8</v>
      </c>
      <c r="G637" s="119">
        <v>50</v>
      </c>
      <c r="H637" s="120">
        <f t="shared" si="19"/>
        <v>450</v>
      </c>
      <c r="I637" s="452">
        <f>+(850+1990)/4</f>
        <v>710</v>
      </c>
      <c r="J637" s="490">
        <f t="shared" si="20"/>
        <v>1160</v>
      </c>
      <c r="K637" s="327"/>
      <c r="L637" s="328"/>
    </row>
    <row r="638" spans="1:12" ht="20.25" customHeight="1" x14ac:dyDescent="0.2">
      <c r="A638" s="114">
        <v>634</v>
      </c>
      <c r="B638" s="1" t="s">
        <v>3912</v>
      </c>
      <c r="C638" s="6" t="s">
        <v>3913</v>
      </c>
      <c r="D638" s="7" t="s">
        <v>3914</v>
      </c>
      <c r="E638" s="2" t="s">
        <v>3911</v>
      </c>
      <c r="F638" s="99" t="s">
        <v>11</v>
      </c>
      <c r="G638" s="121">
        <v>150</v>
      </c>
      <c r="H638" s="122">
        <f t="shared" si="19"/>
        <v>350</v>
      </c>
      <c r="I638" s="450">
        <f>+(850+1990)/4</f>
        <v>710</v>
      </c>
      <c r="J638" s="491">
        <f t="shared" si="20"/>
        <v>1060</v>
      </c>
      <c r="K638" s="323"/>
      <c r="L638" s="324"/>
    </row>
    <row r="639" spans="1:12" ht="20.25" customHeight="1" x14ac:dyDescent="0.2">
      <c r="A639" s="114">
        <v>635</v>
      </c>
      <c r="B639" s="1" t="s">
        <v>3915</v>
      </c>
      <c r="C639" s="6" t="s">
        <v>3916</v>
      </c>
      <c r="D639" s="7" t="s">
        <v>3917</v>
      </c>
      <c r="E639" s="2" t="s">
        <v>3911</v>
      </c>
      <c r="F639" s="99" t="s">
        <v>14</v>
      </c>
      <c r="G639" s="121">
        <v>150</v>
      </c>
      <c r="H639" s="122">
        <f t="shared" si="19"/>
        <v>350</v>
      </c>
      <c r="I639" s="450">
        <f>+(850+1990)/4</f>
        <v>710</v>
      </c>
      <c r="J639" s="491">
        <f t="shared" si="20"/>
        <v>1060</v>
      </c>
      <c r="K639" s="323"/>
      <c r="L639" s="324"/>
    </row>
    <row r="640" spans="1:12" ht="20.25" customHeight="1" thickBot="1" x14ac:dyDescent="0.25">
      <c r="A640" s="158">
        <v>636</v>
      </c>
      <c r="B640" s="159" t="s">
        <v>3918</v>
      </c>
      <c r="C640" s="160" t="s">
        <v>3919</v>
      </c>
      <c r="D640" s="161" t="s">
        <v>3920</v>
      </c>
      <c r="E640" s="162" t="s">
        <v>3911</v>
      </c>
      <c r="F640" s="163" t="s">
        <v>17</v>
      </c>
      <c r="G640" s="164">
        <v>50</v>
      </c>
      <c r="H640" s="153">
        <f t="shared" si="19"/>
        <v>450</v>
      </c>
      <c r="I640" s="451">
        <f>+(850+1990)/4</f>
        <v>710</v>
      </c>
      <c r="J640" s="492">
        <f t="shared" si="20"/>
        <v>1160</v>
      </c>
      <c r="K640" s="325"/>
      <c r="L640" s="326"/>
    </row>
    <row r="641" spans="1:12" ht="20.25" customHeight="1" x14ac:dyDescent="0.2">
      <c r="A641" s="108">
        <v>637</v>
      </c>
      <c r="B641" s="171" t="s">
        <v>3921</v>
      </c>
      <c r="C641" s="110" t="s">
        <v>3922</v>
      </c>
      <c r="D641" s="111" t="s">
        <v>3923</v>
      </c>
      <c r="E641" s="112" t="s">
        <v>3924</v>
      </c>
      <c r="F641" s="113" t="s">
        <v>8</v>
      </c>
      <c r="G641" s="119">
        <v>150</v>
      </c>
      <c r="H641" s="120">
        <f t="shared" si="19"/>
        <v>350</v>
      </c>
      <c r="I641" s="452">
        <f>+(0+105)/4</f>
        <v>26.25</v>
      </c>
      <c r="J641" s="490">
        <f t="shared" si="20"/>
        <v>376.25</v>
      </c>
      <c r="K641" s="327"/>
      <c r="L641" s="328"/>
    </row>
    <row r="642" spans="1:12" ht="20.25" customHeight="1" x14ac:dyDescent="0.2">
      <c r="A642" s="114">
        <v>638</v>
      </c>
      <c r="B642" s="1" t="s">
        <v>3925</v>
      </c>
      <c r="C642" s="6" t="s">
        <v>3926</v>
      </c>
      <c r="D642" s="7" t="s">
        <v>3927</v>
      </c>
      <c r="E642" s="2" t="s">
        <v>3924</v>
      </c>
      <c r="F642" s="99" t="s">
        <v>11</v>
      </c>
      <c r="G642" s="121">
        <v>150</v>
      </c>
      <c r="H642" s="122">
        <f t="shared" si="19"/>
        <v>350</v>
      </c>
      <c r="I642" s="450">
        <f>+(0+105)/4</f>
        <v>26.25</v>
      </c>
      <c r="J642" s="491">
        <f t="shared" si="20"/>
        <v>376.25</v>
      </c>
      <c r="K642" s="323"/>
      <c r="L642" s="324"/>
    </row>
    <row r="643" spans="1:12" ht="20.25" customHeight="1" x14ac:dyDescent="0.2">
      <c r="A643" s="114">
        <v>639</v>
      </c>
      <c r="B643" s="1" t="s">
        <v>3928</v>
      </c>
      <c r="C643" s="6" t="s">
        <v>3929</v>
      </c>
      <c r="D643" s="7" t="s">
        <v>3930</v>
      </c>
      <c r="E643" s="2" t="s">
        <v>3924</v>
      </c>
      <c r="F643" s="99" t="s">
        <v>14</v>
      </c>
      <c r="G643" s="121">
        <v>100</v>
      </c>
      <c r="H643" s="122">
        <f t="shared" si="19"/>
        <v>400</v>
      </c>
      <c r="I643" s="450">
        <f>+(0+105)/4</f>
        <v>26.25</v>
      </c>
      <c r="J643" s="491">
        <f t="shared" si="20"/>
        <v>426.25</v>
      </c>
      <c r="K643" s="323"/>
      <c r="L643" s="324"/>
    </row>
    <row r="644" spans="1:12" ht="20.25" customHeight="1" thickBot="1" x14ac:dyDescent="0.25">
      <c r="A644" s="158">
        <v>640</v>
      </c>
      <c r="B644" s="159" t="s">
        <v>3931</v>
      </c>
      <c r="C644" s="160" t="s">
        <v>3932</v>
      </c>
      <c r="D644" s="161" t="s">
        <v>3933</v>
      </c>
      <c r="E644" s="162" t="s">
        <v>3924</v>
      </c>
      <c r="F644" s="163" t="s">
        <v>17</v>
      </c>
      <c r="G644" s="164">
        <v>450</v>
      </c>
      <c r="H644" s="153">
        <f t="shared" ref="H644:H709" si="21">500-G644</f>
        <v>50</v>
      </c>
      <c r="I644" s="451">
        <f>+(0+105)/4</f>
        <v>26.25</v>
      </c>
      <c r="J644" s="492">
        <f t="shared" si="20"/>
        <v>76.25</v>
      </c>
      <c r="K644" s="325"/>
      <c r="L644" s="326"/>
    </row>
    <row r="645" spans="1:12" ht="20.25" customHeight="1" x14ac:dyDescent="0.2">
      <c r="A645" s="108">
        <v>641</v>
      </c>
      <c r="B645" s="174" t="s">
        <v>3934</v>
      </c>
      <c r="C645" s="175" t="s">
        <v>3935</v>
      </c>
      <c r="D645" s="176" t="s">
        <v>3936</v>
      </c>
      <c r="E645" s="177" t="s">
        <v>3937</v>
      </c>
      <c r="F645" s="178" t="s">
        <v>8</v>
      </c>
      <c r="G645" s="179">
        <v>50</v>
      </c>
      <c r="H645" s="120">
        <f t="shared" si="21"/>
        <v>450</v>
      </c>
      <c r="I645" s="452">
        <f>+(1495+1545)/4</f>
        <v>760</v>
      </c>
      <c r="J645" s="490">
        <f t="shared" si="20"/>
        <v>1210</v>
      </c>
      <c r="K645" s="327"/>
      <c r="L645" s="328"/>
    </row>
    <row r="646" spans="1:12" ht="20.25" customHeight="1" x14ac:dyDescent="0.2">
      <c r="A646" s="114">
        <v>642</v>
      </c>
      <c r="B646" s="47" t="s">
        <v>3938</v>
      </c>
      <c r="C646" s="10" t="s">
        <v>2636</v>
      </c>
      <c r="D646" s="11" t="s">
        <v>3939</v>
      </c>
      <c r="E646" s="5" t="s">
        <v>3937</v>
      </c>
      <c r="F646" s="100" t="s">
        <v>11</v>
      </c>
      <c r="G646" s="125">
        <v>50</v>
      </c>
      <c r="H646" s="122">
        <f t="shared" si="21"/>
        <v>450</v>
      </c>
      <c r="I646" s="450">
        <f>+(1495+1545)/4</f>
        <v>760</v>
      </c>
      <c r="J646" s="491">
        <f t="shared" si="20"/>
        <v>1210</v>
      </c>
      <c r="K646" s="323"/>
      <c r="L646" s="324"/>
    </row>
    <row r="647" spans="1:12" ht="20.25" customHeight="1" x14ac:dyDescent="0.2">
      <c r="A647" s="114">
        <v>643</v>
      </c>
      <c r="B647" s="47" t="s">
        <v>3811</v>
      </c>
      <c r="C647" s="10" t="s">
        <v>4987</v>
      </c>
      <c r="D647" s="11" t="s">
        <v>4988</v>
      </c>
      <c r="E647" s="5">
        <v>2619</v>
      </c>
      <c r="F647" s="100">
        <v>3</v>
      </c>
      <c r="G647" s="125">
        <v>150</v>
      </c>
      <c r="H647" s="122">
        <f t="shared" si="21"/>
        <v>350</v>
      </c>
      <c r="I647" s="450">
        <f>+(1495+1545)/4</f>
        <v>760</v>
      </c>
      <c r="J647" s="491">
        <f t="shared" si="20"/>
        <v>1110</v>
      </c>
      <c r="K647" s="323"/>
      <c r="L647" s="324"/>
    </row>
    <row r="648" spans="1:12" ht="20.25" customHeight="1" thickBot="1" x14ac:dyDescent="0.25">
      <c r="A648" s="158">
        <v>644</v>
      </c>
      <c r="B648" s="192" t="s">
        <v>3940</v>
      </c>
      <c r="C648" s="193" t="s">
        <v>2823</v>
      </c>
      <c r="D648" s="194" t="s">
        <v>3941</v>
      </c>
      <c r="E648" s="195" t="s">
        <v>3937</v>
      </c>
      <c r="F648" s="196" t="s">
        <v>17</v>
      </c>
      <c r="G648" s="197">
        <v>50</v>
      </c>
      <c r="H648" s="153">
        <f t="shared" si="21"/>
        <v>450</v>
      </c>
      <c r="I648" s="451">
        <f>+(1495+1545)/4</f>
        <v>760</v>
      </c>
      <c r="J648" s="492">
        <f t="shared" si="20"/>
        <v>1210</v>
      </c>
      <c r="K648" s="325"/>
      <c r="L648" s="326"/>
    </row>
    <row r="649" spans="1:12" ht="20.25" customHeight="1" x14ac:dyDescent="0.2">
      <c r="A649" s="108">
        <v>645</v>
      </c>
      <c r="B649" s="171" t="s">
        <v>3942</v>
      </c>
      <c r="C649" s="110" t="s">
        <v>3943</v>
      </c>
      <c r="D649" s="111" t="s">
        <v>3944</v>
      </c>
      <c r="E649" s="112" t="s">
        <v>3945</v>
      </c>
      <c r="F649" s="113" t="s">
        <v>8</v>
      </c>
      <c r="G649" s="119">
        <v>150</v>
      </c>
      <c r="H649" s="120">
        <f t="shared" si="21"/>
        <v>350</v>
      </c>
      <c r="I649" s="452">
        <f>+(38+359)/4</f>
        <v>99.25</v>
      </c>
      <c r="J649" s="490">
        <f t="shared" si="20"/>
        <v>449.25</v>
      </c>
      <c r="K649" s="327"/>
      <c r="L649" s="328"/>
    </row>
    <row r="650" spans="1:12" ht="20.25" customHeight="1" x14ac:dyDescent="0.2">
      <c r="A650" s="114">
        <v>646</v>
      </c>
      <c r="B650" s="1" t="s">
        <v>3946</v>
      </c>
      <c r="C650" s="6" t="s">
        <v>3947</v>
      </c>
      <c r="D650" s="7" t="s">
        <v>3948</v>
      </c>
      <c r="E650" s="2" t="s">
        <v>3945</v>
      </c>
      <c r="F650" s="99" t="s">
        <v>11</v>
      </c>
      <c r="G650" s="121">
        <v>150</v>
      </c>
      <c r="H650" s="122">
        <f t="shared" si="21"/>
        <v>350</v>
      </c>
      <c r="I650" s="450">
        <f>+(38+359)/4</f>
        <v>99.25</v>
      </c>
      <c r="J650" s="491">
        <f t="shared" si="20"/>
        <v>449.25</v>
      </c>
      <c r="K650" s="323"/>
      <c r="L650" s="324"/>
    </row>
    <row r="651" spans="1:12" ht="20.25" customHeight="1" x14ac:dyDescent="0.2">
      <c r="A651" s="114">
        <v>647</v>
      </c>
      <c r="B651" s="1" t="s">
        <v>3949</v>
      </c>
      <c r="C651" s="6" t="s">
        <v>2201</v>
      </c>
      <c r="D651" s="7" t="s">
        <v>3950</v>
      </c>
      <c r="E651" s="2" t="s">
        <v>3945</v>
      </c>
      <c r="F651" s="99" t="s">
        <v>14</v>
      </c>
      <c r="G651" s="121">
        <v>50</v>
      </c>
      <c r="H651" s="122">
        <f t="shared" si="21"/>
        <v>450</v>
      </c>
      <c r="I651" s="450">
        <f>+(38+359)/4</f>
        <v>99.25</v>
      </c>
      <c r="J651" s="491">
        <f t="shared" si="20"/>
        <v>549.25</v>
      </c>
      <c r="K651" s="323"/>
      <c r="L651" s="324"/>
    </row>
    <row r="652" spans="1:12" ht="20.25" customHeight="1" thickBot="1" x14ac:dyDescent="0.25">
      <c r="A652" s="158">
        <v>648</v>
      </c>
      <c r="B652" s="159" t="s">
        <v>3951</v>
      </c>
      <c r="C652" s="160" t="s">
        <v>3952</v>
      </c>
      <c r="D652" s="161" t="s">
        <v>3953</v>
      </c>
      <c r="E652" s="162" t="s">
        <v>3945</v>
      </c>
      <c r="F652" s="163" t="s">
        <v>17</v>
      </c>
      <c r="G652" s="164">
        <v>200</v>
      </c>
      <c r="H652" s="153">
        <f t="shared" si="21"/>
        <v>300</v>
      </c>
      <c r="I652" s="451">
        <f>+(38+359)/4</f>
        <v>99.25</v>
      </c>
      <c r="J652" s="492">
        <f t="shared" si="20"/>
        <v>399.25</v>
      </c>
      <c r="K652" s="325"/>
      <c r="L652" s="326"/>
    </row>
    <row r="653" spans="1:12" ht="20.25" customHeight="1" x14ac:dyDescent="0.2">
      <c r="A653" s="108">
        <v>649</v>
      </c>
      <c r="B653" s="171" t="s">
        <v>3954</v>
      </c>
      <c r="C653" s="110" t="s">
        <v>3182</v>
      </c>
      <c r="D653" s="111" t="s">
        <v>3955</v>
      </c>
      <c r="E653" s="112" t="s">
        <v>3956</v>
      </c>
      <c r="F653" s="113" t="s">
        <v>8</v>
      </c>
      <c r="G653" s="119">
        <v>50</v>
      </c>
      <c r="H653" s="120">
        <f t="shared" si="21"/>
        <v>450</v>
      </c>
      <c r="I653" s="452">
        <f>+(965+1380)/4</f>
        <v>586.25</v>
      </c>
      <c r="J653" s="490">
        <f t="shared" si="20"/>
        <v>1036.25</v>
      </c>
      <c r="K653" s="327"/>
      <c r="L653" s="328"/>
    </row>
    <row r="654" spans="1:12" ht="20.25" customHeight="1" x14ac:dyDescent="0.2">
      <c r="A654" s="114">
        <v>650</v>
      </c>
      <c r="B654" s="1" t="s">
        <v>3957</v>
      </c>
      <c r="C654" s="6" t="s">
        <v>3958</v>
      </c>
      <c r="D654" s="7" t="s">
        <v>3959</v>
      </c>
      <c r="E654" s="2" t="s">
        <v>3956</v>
      </c>
      <c r="F654" s="99" t="s">
        <v>11</v>
      </c>
      <c r="G654" s="121">
        <v>150</v>
      </c>
      <c r="H654" s="122">
        <f t="shared" si="21"/>
        <v>350</v>
      </c>
      <c r="I654" s="450">
        <f>+(965+1380)/4</f>
        <v>586.25</v>
      </c>
      <c r="J654" s="491">
        <f t="shared" si="20"/>
        <v>936.25</v>
      </c>
      <c r="K654" s="323"/>
      <c r="L654" s="324"/>
    </row>
    <row r="655" spans="1:12" ht="20.25" customHeight="1" x14ac:dyDescent="0.2">
      <c r="A655" s="114">
        <v>651</v>
      </c>
      <c r="B655" s="1" t="s">
        <v>3960</v>
      </c>
      <c r="C655" s="6" t="s">
        <v>3961</v>
      </c>
      <c r="D655" s="7" t="s">
        <v>3962</v>
      </c>
      <c r="E655" s="2" t="s">
        <v>3956</v>
      </c>
      <c r="F655" s="99" t="s">
        <v>14</v>
      </c>
      <c r="G655" s="121">
        <v>350</v>
      </c>
      <c r="H655" s="122">
        <f t="shared" si="21"/>
        <v>150</v>
      </c>
      <c r="I655" s="450">
        <f>+(965+1380)/4</f>
        <v>586.25</v>
      </c>
      <c r="J655" s="491">
        <f t="shared" si="20"/>
        <v>736.25</v>
      </c>
      <c r="K655" s="323"/>
      <c r="L655" s="324"/>
    </row>
    <row r="656" spans="1:12" ht="20.25" customHeight="1" thickBot="1" x14ac:dyDescent="0.25">
      <c r="A656" s="158">
        <v>652</v>
      </c>
      <c r="B656" s="159" t="s">
        <v>3963</v>
      </c>
      <c r="C656" s="160" t="s">
        <v>3964</v>
      </c>
      <c r="D656" s="161" t="s">
        <v>2178</v>
      </c>
      <c r="E656" s="162" t="s">
        <v>3956</v>
      </c>
      <c r="F656" s="163" t="s">
        <v>17</v>
      </c>
      <c r="G656" s="164">
        <v>50</v>
      </c>
      <c r="H656" s="153">
        <f t="shared" si="21"/>
        <v>450</v>
      </c>
      <c r="I656" s="451">
        <f>+(965+1380)/4</f>
        <v>586.25</v>
      </c>
      <c r="J656" s="492">
        <f t="shared" si="20"/>
        <v>1036.25</v>
      </c>
      <c r="K656" s="325"/>
      <c r="L656" s="326"/>
    </row>
    <row r="657" spans="1:12" ht="20.25" customHeight="1" x14ac:dyDescent="0.2">
      <c r="A657" s="108">
        <v>653</v>
      </c>
      <c r="B657" s="171" t="s">
        <v>3965</v>
      </c>
      <c r="C657" s="110" t="s">
        <v>3966</v>
      </c>
      <c r="D657" s="111" t="s">
        <v>3967</v>
      </c>
      <c r="E657" s="112" t="s">
        <v>3968</v>
      </c>
      <c r="F657" s="113" t="s">
        <v>8</v>
      </c>
      <c r="G657" s="119">
        <v>150</v>
      </c>
      <c r="H657" s="120">
        <f t="shared" si="21"/>
        <v>350</v>
      </c>
      <c r="I657" s="452">
        <f t="shared" ref="I657:I664" si="22">+(0+0)/4</f>
        <v>0</v>
      </c>
      <c r="J657" s="490">
        <f t="shared" ref="J657:J720" si="23">SUM(H657:I657)</f>
        <v>350</v>
      </c>
      <c r="K657" s="327"/>
      <c r="L657" s="328"/>
    </row>
    <row r="658" spans="1:12" ht="20.25" customHeight="1" x14ac:dyDescent="0.2">
      <c r="A658" s="114">
        <v>654</v>
      </c>
      <c r="B658" s="1" t="s">
        <v>3969</v>
      </c>
      <c r="C658" s="6" t="s">
        <v>3970</v>
      </c>
      <c r="D658" s="7" t="s">
        <v>3971</v>
      </c>
      <c r="E658" s="2" t="s">
        <v>3968</v>
      </c>
      <c r="F658" s="99" t="s">
        <v>11</v>
      </c>
      <c r="G658" s="121">
        <v>100</v>
      </c>
      <c r="H658" s="122">
        <f t="shared" si="21"/>
        <v>400</v>
      </c>
      <c r="I658" s="450">
        <f t="shared" si="22"/>
        <v>0</v>
      </c>
      <c r="J658" s="491">
        <f t="shared" si="23"/>
        <v>400</v>
      </c>
      <c r="K658" s="323"/>
      <c r="L658" s="324"/>
    </row>
    <row r="659" spans="1:12" ht="20.25" customHeight="1" x14ac:dyDescent="0.2">
      <c r="A659" s="114">
        <v>655</v>
      </c>
      <c r="B659" s="1" t="s">
        <v>3972</v>
      </c>
      <c r="C659" s="6" t="s">
        <v>2397</v>
      </c>
      <c r="D659" s="7" t="s">
        <v>3973</v>
      </c>
      <c r="E659" s="2" t="s">
        <v>3968</v>
      </c>
      <c r="F659" s="99" t="s">
        <v>14</v>
      </c>
      <c r="G659" s="121">
        <v>150</v>
      </c>
      <c r="H659" s="122">
        <f t="shared" si="21"/>
        <v>350</v>
      </c>
      <c r="I659" s="450">
        <f t="shared" si="22"/>
        <v>0</v>
      </c>
      <c r="J659" s="491">
        <f t="shared" si="23"/>
        <v>350</v>
      </c>
      <c r="K659" s="323"/>
      <c r="L659" s="324"/>
    </row>
    <row r="660" spans="1:12" ht="20.25" customHeight="1" thickBot="1" x14ac:dyDescent="0.25">
      <c r="A660" s="158">
        <v>656</v>
      </c>
      <c r="B660" s="159" t="s">
        <v>3974</v>
      </c>
      <c r="C660" s="160" t="s">
        <v>3975</v>
      </c>
      <c r="D660" s="161" t="s">
        <v>3976</v>
      </c>
      <c r="E660" s="162" t="s">
        <v>3968</v>
      </c>
      <c r="F660" s="163" t="s">
        <v>17</v>
      </c>
      <c r="G660" s="164">
        <v>150</v>
      </c>
      <c r="H660" s="153">
        <f t="shared" si="21"/>
        <v>350</v>
      </c>
      <c r="I660" s="451">
        <f t="shared" si="22"/>
        <v>0</v>
      </c>
      <c r="J660" s="492">
        <f t="shared" si="23"/>
        <v>350</v>
      </c>
      <c r="K660" s="325"/>
      <c r="L660" s="326"/>
    </row>
    <row r="661" spans="1:12" ht="20.25" customHeight="1" x14ac:dyDescent="0.2">
      <c r="A661" s="108">
        <v>657</v>
      </c>
      <c r="B661" s="171" t="s">
        <v>3977</v>
      </c>
      <c r="C661" s="110" t="s">
        <v>2845</v>
      </c>
      <c r="D661" s="111" t="s">
        <v>3978</v>
      </c>
      <c r="E661" s="112" t="s">
        <v>3979</v>
      </c>
      <c r="F661" s="113" t="s">
        <v>8</v>
      </c>
      <c r="G661" s="119">
        <v>100</v>
      </c>
      <c r="H661" s="120">
        <f t="shared" si="21"/>
        <v>400</v>
      </c>
      <c r="I661" s="452">
        <f t="shared" si="22"/>
        <v>0</v>
      </c>
      <c r="J661" s="490">
        <f t="shared" si="23"/>
        <v>400</v>
      </c>
      <c r="K661" s="327"/>
      <c r="L661" s="328"/>
    </row>
    <row r="662" spans="1:12" ht="20.25" customHeight="1" x14ac:dyDescent="0.2">
      <c r="A662" s="114">
        <v>658</v>
      </c>
      <c r="B662" s="1" t="s">
        <v>3980</v>
      </c>
      <c r="C662" s="6" t="s">
        <v>2318</v>
      </c>
      <c r="D662" s="7" t="s">
        <v>3981</v>
      </c>
      <c r="E662" s="2" t="s">
        <v>3979</v>
      </c>
      <c r="F662" s="99" t="s">
        <v>11</v>
      </c>
      <c r="G662" s="121">
        <v>50</v>
      </c>
      <c r="H662" s="122">
        <f t="shared" si="21"/>
        <v>450</v>
      </c>
      <c r="I662" s="450">
        <f t="shared" si="22"/>
        <v>0</v>
      </c>
      <c r="J662" s="491">
        <f t="shared" si="23"/>
        <v>450</v>
      </c>
      <c r="K662" s="323"/>
      <c r="L662" s="324"/>
    </row>
    <row r="663" spans="1:12" ht="20.25" customHeight="1" x14ac:dyDescent="0.2">
      <c r="A663" s="114">
        <v>659</v>
      </c>
      <c r="B663" s="1" t="s">
        <v>3982</v>
      </c>
      <c r="C663" s="6" t="s">
        <v>3983</v>
      </c>
      <c r="D663" s="7" t="s">
        <v>3984</v>
      </c>
      <c r="E663" s="2" t="s">
        <v>3979</v>
      </c>
      <c r="F663" s="99" t="s">
        <v>14</v>
      </c>
      <c r="G663" s="121">
        <v>50</v>
      </c>
      <c r="H663" s="122">
        <f t="shared" si="21"/>
        <v>450</v>
      </c>
      <c r="I663" s="450">
        <f t="shared" si="22"/>
        <v>0</v>
      </c>
      <c r="J663" s="491">
        <f t="shared" si="23"/>
        <v>450</v>
      </c>
      <c r="K663" s="323"/>
      <c r="L663" s="324"/>
    </row>
    <row r="664" spans="1:12" ht="20.25" customHeight="1" thickBot="1" x14ac:dyDescent="0.25">
      <c r="A664" s="158">
        <v>660</v>
      </c>
      <c r="B664" s="159" t="s">
        <v>3985</v>
      </c>
      <c r="C664" s="160" t="s">
        <v>3986</v>
      </c>
      <c r="D664" s="161" t="s">
        <v>3987</v>
      </c>
      <c r="E664" s="162" t="s">
        <v>3979</v>
      </c>
      <c r="F664" s="163" t="s">
        <v>17</v>
      </c>
      <c r="G664" s="164">
        <v>100</v>
      </c>
      <c r="H664" s="153">
        <f t="shared" si="21"/>
        <v>400</v>
      </c>
      <c r="I664" s="451">
        <f t="shared" si="22"/>
        <v>0</v>
      </c>
      <c r="J664" s="492">
        <f t="shared" si="23"/>
        <v>400</v>
      </c>
      <c r="K664" s="325"/>
      <c r="L664" s="326"/>
    </row>
    <row r="665" spans="1:12" ht="20.25" customHeight="1" x14ac:dyDescent="0.2">
      <c r="A665" s="108">
        <v>661</v>
      </c>
      <c r="B665" s="174" t="s">
        <v>3988</v>
      </c>
      <c r="C665" s="175" t="s">
        <v>3989</v>
      </c>
      <c r="D665" s="176" t="s">
        <v>3990</v>
      </c>
      <c r="E665" s="177" t="s">
        <v>3991</v>
      </c>
      <c r="F665" s="178" t="s">
        <v>8</v>
      </c>
      <c r="G665" s="179">
        <v>50</v>
      </c>
      <c r="H665" s="120">
        <f t="shared" si="21"/>
        <v>450</v>
      </c>
      <c r="I665" s="452">
        <f>+(130+1175)/4</f>
        <v>326.25</v>
      </c>
      <c r="J665" s="490">
        <f t="shared" si="23"/>
        <v>776.25</v>
      </c>
      <c r="K665" s="327"/>
      <c r="L665" s="328"/>
    </row>
    <row r="666" spans="1:12" ht="20.25" customHeight="1" x14ac:dyDescent="0.2">
      <c r="A666" s="114">
        <v>662</v>
      </c>
      <c r="B666" s="47" t="s">
        <v>4991</v>
      </c>
      <c r="C666" s="10" t="s">
        <v>4989</v>
      </c>
      <c r="D666" s="11" t="s">
        <v>4990</v>
      </c>
      <c r="E666" s="5" t="s">
        <v>3991</v>
      </c>
      <c r="F666" s="100">
        <v>2</v>
      </c>
      <c r="G666" s="125">
        <v>150</v>
      </c>
      <c r="H666" s="122">
        <f t="shared" si="21"/>
        <v>350</v>
      </c>
      <c r="I666" s="450">
        <f>+(130+1175)/4</f>
        <v>326.25</v>
      </c>
      <c r="J666" s="491">
        <f t="shared" si="23"/>
        <v>676.25</v>
      </c>
      <c r="K666" s="323"/>
      <c r="L666" s="324"/>
    </row>
    <row r="667" spans="1:12" ht="20.25" customHeight="1" x14ac:dyDescent="0.2">
      <c r="A667" s="114">
        <v>663</v>
      </c>
      <c r="B667" s="47" t="s">
        <v>4923</v>
      </c>
      <c r="C667" s="10" t="s">
        <v>4921</v>
      </c>
      <c r="D667" s="11" t="s">
        <v>4922</v>
      </c>
      <c r="E667" s="5" t="s">
        <v>3991</v>
      </c>
      <c r="F667" s="100">
        <v>3</v>
      </c>
      <c r="G667" s="125">
        <v>150</v>
      </c>
      <c r="H667" s="122">
        <f t="shared" si="21"/>
        <v>350</v>
      </c>
      <c r="I667" s="450">
        <f>+(130+1175)/4</f>
        <v>326.25</v>
      </c>
      <c r="J667" s="491">
        <f t="shared" si="23"/>
        <v>676.25</v>
      </c>
      <c r="K667" s="323"/>
      <c r="L667" s="324"/>
    </row>
    <row r="668" spans="1:12" ht="20.25" customHeight="1" thickBot="1" x14ac:dyDescent="0.25">
      <c r="A668" s="158">
        <v>664</v>
      </c>
      <c r="B668" s="192" t="s">
        <v>2275</v>
      </c>
      <c r="C668" s="193" t="s">
        <v>2276</v>
      </c>
      <c r="D668" s="194" t="s">
        <v>2277</v>
      </c>
      <c r="E668" s="195" t="s">
        <v>3991</v>
      </c>
      <c r="F668" s="196">
        <v>4</v>
      </c>
      <c r="G668" s="197">
        <v>50</v>
      </c>
      <c r="H668" s="153">
        <f t="shared" si="21"/>
        <v>450</v>
      </c>
      <c r="I668" s="451">
        <f>+(130+1175)/4</f>
        <v>326.25</v>
      </c>
      <c r="J668" s="492">
        <f t="shared" si="23"/>
        <v>776.25</v>
      </c>
      <c r="K668" s="325"/>
      <c r="L668" s="326"/>
    </row>
    <row r="669" spans="1:12" ht="20.25" customHeight="1" x14ac:dyDescent="0.2">
      <c r="A669" s="108">
        <v>665</v>
      </c>
      <c r="B669" s="171" t="s">
        <v>3992</v>
      </c>
      <c r="C669" s="110" t="s">
        <v>3993</v>
      </c>
      <c r="D669" s="111" t="s">
        <v>3994</v>
      </c>
      <c r="E669" s="112" t="s">
        <v>3995</v>
      </c>
      <c r="F669" s="113" t="s">
        <v>8</v>
      </c>
      <c r="G669" s="119">
        <v>50</v>
      </c>
      <c r="H669" s="120">
        <f t="shared" si="21"/>
        <v>450</v>
      </c>
      <c r="I669" s="452">
        <f>+(1320+1440)/4</f>
        <v>690</v>
      </c>
      <c r="J669" s="490">
        <f t="shared" si="23"/>
        <v>1140</v>
      </c>
      <c r="K669" s="327"/>
      <c r="L669" s="328"/>
    </row>
    <row r="670" spans="1:12" ht="20.25" customHeight="1" x14ac:dyDescent="0.2">
      <c r="A670" s="114">
        <v>666</v>
      </c>
      <c r="B670" s="1" t="s">
        <v>3996</v>
      </c>
      <c r="C670" s="6" t="s">
        <v>3795</v>
      </c>
      <c r="D670" s="7" t="s">
        <v>3997</v>
      </c>
      <c r="E670" s="2" t="s">
        <v>3995</v>
      </c>
      <c r="F670" s="99" t="s">
        <v>11</v>
      </c>
      <c r="G670" s="121">
        <v>100</v>
      </c>
      <c r="H670" s="122">
        <f t="shared" si="21"/>
        <v>400</v>
      </c>
      <c r="I670" s="450">
        <f>+(1320+1440)/4</f>
        <v>690</v>
      </c>
      <c r="J670" s="491">
        <f t="shared" si="23"/>
        <v>1090</v>
      </c>
      <c r="K670" s="323"/>
      <c r="L670" s="324"/>
    </row>
    <row r="671" spans="1:12" ht="20.25" customHeight="1" x14ac:dyDescent="0.2">
      <c r="A671" s="114">
        <v>667</v>
      </c>
      <c r="B671" s="1" t="s">
        <v>3998</v>
      </c>
      <c r="C671" s="6" t="s">
        <v>2339</v>
      </c>
      <c r="D671" s="7" t="s">
        <v>3999</v>
      </c>
      <c r="E671" s="2" t="s">
        <v>3995</v>
      </c>
      <c r="F671" s="99" t="s">
        <v>14</v>
      </c>
      <c r="G671" s="121">
        <v>100</v>
      </c>
      <c r="H671" s="122">
        <f t="shared" si="21"/>
        <v>400</v>
      </c>
      <c r="I671" s="450">
        <f>+(1320+1440)/4</f>
        <v>690</v>
      </c>
      <c r="J671" s="491">
        <f t="shared" si="23"/>
        <v>1090</v>
      </c>
      <c r="K671" s="323"/>
      <c r="L671" s="324"/>
    </row>
    <row r="672" spans="1:12" ht="20.25" customHeight="1" thickBot="1" x14ac:dyDescent="0.25">
      <c r="A672" s="158">
        <v>668</v>
      </c>
      <c r="B672" s="159" t="s">
        <v>4000</v>
      </c>
      <c r="C672" s="160" t="s">
        <v>2683</v>
      </c>
      <c r="D672" s="161" t="s">
        <v>343</v>
      </c>
      <c r="E672" s="162" t="s">
        <v>3995</v>
      </c>
      <c r="F672" s="163" t="s">
        <v>17</v>
      </c>
      <c r="G672" s="164">
        <v>150</v>
      </c>
      <c r="H672" s="153">
        <f t="shared" si="21"/>
        <v>350</v>
      </c>
      <c r="I672" s="451">
        <f>+(1320+1440)/4</f>
        <v>690</v>
      </c>
      <c r="J672" s="492">
        <f t="shared" si="23"/>
        <v>1040</v>
      </c>
      <c r="K672" s="325"/>
      <c r="L672" s="326"/>
    </row>
    <row r="673" spans="1:12" ht="20.25" customHeight="1" x14ac:dyDescent="0.2">
      <c r="A673" s="108">
        <v>669</v>
      </c>
      <c r="B673" s="174" t="s">
        <v>4001</v>
      </c>
      <c r="C673" s="175" t="s">
        <v>2737</v>
      </c>
      <c r="D673" s="176" t="s">
        <v>4002</v>
      </c>
      <c r="E673" s="177" t="s">
        <v>4003</v>
      </c>
      <c r="F673" s="178" t="s">
        <v>8</v>
      </c>
      <c r="G673" s="179">
        <v>150</v>
      </c>
      <c r="H673" s="120">
        <f t="shared" si="21"/>
        <v>350</v>
      </c>
      <c r="I673" s="452">
        <f>+(1165+1630)/4</f>
        <v>698.75</v>
      </c>
      <c r="J673" s="490">
        <f t="shared" si="23"/>
        <v>1048.75</v>
      </c>
      <c r="K673" s="327"/>
      <c r="L673" s="328"/>
    </row>
    <row r="674" spans="1:12" ht="20.25" customHeight="1" x14ac:dyDescent="0.2">
      <c r="A674" s="114">
        <v>670</v>
      </c>
      <c r="B674" s="47" t="s">
        <v>4004</v>
      </c>
      <c r="C674" s="10" t="s">
        <v>2956</v>
      </c>
      <c r="D674" s="11" t="s">
        <v>4005</v>
      </c>
      <c r="E674" s="5" t="s">
        <v>4003</v>
      </c>
      <c r="F674" s="100" t="s">
        <v>11</v>
      </c>
      <c r="G674" s="125">
        <v>200</v>
      </c>
      <c r="H674" s="122">
        <f t="shared" si="21"/>
        <v>300</v>
      </c>
      <c r="I674" s="450">
        <f>+(1165+1630)/4</f>
        <v>698.75</v>
      </c>
      <c r="J674" s="491">
        <f t="shared" si="23"/>
        <v>998.75</v>
      </c>
      <c r="K674" s="323"/>
      <c r="L674" s="324"/>
    </row>
    <row r="675" spans="1:12" ht="20.25" customHeight="1" x14ac:dyDescent="0.2">
      <c r="A675" s="114">
        <v>671</v>
      </c>
      <c r="B675" s="47" t="s">
        <v>3558</v>
      </c>
      <c r="C675" s="10" t="s">
        <v>3559</v>
      </c>
      <c r="D675" s="11" t="s">
        <v>3560</v>
      </c>
      <c r="E675" s="5" t="s">
        <v>4003</v>
      </c>
      <c r="F675" s="100">
        <v>3</v>
      </c>
      <c r="G675" s="125">
        <v>50</v>
      </c>
      <c r="H675" s="122">
        <f t="shared" si="21"/>
        <v>450</v>
      </c>
      <c r="I675" s="450">
        <f>+(1165+1630)/4</f>
        <v>698.75</v>
      </c>
      <c r="J675" s="491">
        <f t="shared" si="23"/>
        <v>1148.75</v>
      </c>
      <c r="K675" s="323"/>
      <c r="L675" s="324"/>
    </row>
    <row r="676" spans="1:12" ht="20.25" customHeight="1" thickBot="1" x14ac:dyDescent="0.25">
      <c r="A676" s="158">
        <v>672</v>
      </c>
      <c r="B676" s="192" t="s">
        <v>4006</v>
      </c>
      <c r="C676" s="193" t="s">
        <v>2439</v>
      </c>
      <c r="D676" s="194" t="s">
        <v>2043</v>
      </c>
      <c r="E676" s="195" t="s">
        <v>4003</v>
      </c>
      <c r="F676" s="196" t="s">
        <v>17</v>
      </c>
      <c r="G676" s="197">
        <v>150</v>
      </c>
      <c r="H676" s="153">
        <f t="shared" si="21"/>
        <v>350</v>
      </c>
      <c r="I676" s="451">
        <f>+(1165+1630)/4</f>
        <v>698.75</v>
      </c>
      <c r="J676" s="492">
        <f t="shared" si="23"/>
        <v>1048.75</v>
      </c>
      <c r="K676" s="325"/>
      <c r="L676" s="326"/>
    </row>
    <row r="677" spans="1:12" ht="20.25" customHeight="1" x14ac:dyDescent="0.2">
      <c r="A677" s="108">
        <v>673</v>
      </c>
      <c r="B677" s="174" t="s">
        <v>5008</v>
      </c>
      <c r="C677" s="175" t="s">
        <v>5009</v>
      </c>
      <c r="D677" s="176" t="s">
        <v>5010</v>
      </c>
      <c r="E677" s="177">
        <v>2627</v>
      </c>
      <c r="F677" s="178">
        <v>1</v>
      </c>
      <c r="G677" s="179">
        <v>100</v>
      </c>
      <c r="H677" s="120">
        <f t="shared" si="21"/>
        <v>400</v>
      </c>
      <c r="I677" s="452">
        <f>+(805+1805)/4</f>
        <v>652.5</v>
      </c>
      <c r="J677" s="490">
        <f t="shared" si="23"/>
        <v>1052.5</v>
      </c>
      <c r="K677" s="327"/>
      <c r="L677" s="328"/>
    </row>
    <row r="678" spans="1:12" ht="20.25" customHeight="1" x14ac:dyDescent="0.2">
      <c r="A678" s="114">
        <v>674</v>
      </c>
      <c r="B678" s="1" t="s">
        <v>4007</v>
      </c>
      <c r="C678" s="6" t="s">
        <v>4008</v>
      </c>
      <c r="D678" s="7" t="s">
        <v>4009</v>
      </c>
      <c r="E678" s="2" t="s">
        <v>4010</v>
      </c>
      <c r="F678" s="99" t="s">
        <v>11</v>
      </c>
      <c r="G678" s="121">
        <v>150</v>
      </c>
      <c r="H678" s="122">
        <f>500-G678</f>
        <v>350</v>
      </c>
      <c r="I678" s="450">
        <f>+(805+1805)/4</f>
        <v>652.5</v>
      </c>
      <c r="J678" s="491">
        <f t="shared" si="23"/>
        <v>1002.5</v>
      </c>
      <c r="K678" s="323"/>
      <c r="L678" s="324"/>
    </row>
    <row r="679" spans="1:12" ht="20.25" customHeight="1" x14ac:dyDescent="0.2">
      <c r="A679" s="114">
        <v>675</v>
      </c>
      <c r="B679" s="14" t="s">
        <v>4920</v>
      </c>
      <c r="C679" s="15" t="s">
        <v>4918</v>
      </c>
      <c r="D679" s="15" t="s">
        <v>4919</v>
      </c>
      <c r="E679" s="68">
        <v>2627</v>
      </c>
      <c r="F679" s="154">
        <v>3</v>
      </c>
      <c r="G679" s="464">
        <v>100</v>
      </c>
      <c r="H679" s="465">
        <f>500-G679</f>
        <v>400</v>
      </c>
      <c r="I679" s="450">
        <f>+(805+1805)/4</f>
        <v>652.5</v>
      </c>
      <c r="J679" s="491">
        <f t="shared" si="23"/>
        <v>1052.5</v>
      </c>
      <c r="K679" s="323"/>
      <c r="L679" s="324"/>
    </row>
    <row r="680" spans="1:12" ht="20.25" customHeight="1" thickBot="1" x14ac:dyDescent="0.25">
      <c r="A680" s="158">
        <v>676</v>
      </c>
      <c r="B680" s="159" t="s">
        <v>4011</v>
      </c>
      <c r="C680" s="160" t="s">
        <v>2917</v>
      </c>
      <c r="D680" s="161" t="s">
        <v>4012</v>
      </c>
      <c r="E680" s="162" t="s">
        <v>4010</v>
      </c>
      <c r="F680" s="163" t="s">
        <v>17</v>
      </c>
      <c r="G680" s="164">
        <v>50</v>
      </c>
      <c r="H680" s="153">
        <f t="shared" si="21"/>
        <v>450</v>
      </c>
      <c r="I680" s="451">
        <f>+(805+1805)/4</f>
        <v>652.5</v>
      </c>
      <c r="J680" s="492">
        <f t="shared" si="23"/>
        <v>1102.5</v>
      </c>
      <c r="K680" s="325"/>
      <c r="L680" s="326"/>
    </row>
    <row r="681" spans="1:12" ht="20.25" customHeight="1" x14ac:dyDescent="0.2">
      <c r="A681" s="108">
        <v>677</v>
      </c>
      <c r="B681" s="171" t="s">
        <v>4013</v>
      </c>
      <c r="C681" s="110" t="s">
        <v>4014</v>
      </c>
      <c r="D681" s="111" t="s">
        <v>4015</v>
      </c>
      <c r="E681" s="112" t="s">
        <v>4016</v>
      </c>
      <c r="F681" s="113" t="s">
        <v>8</v>
      </c>
      <c r="G681" s="119">
        <v>100</v>
      </c>
      <c r="H681" s="120">
        <f t="shared" si="21"/>
        <v>400</v>
      </c>
      <c r="I681" s="452">
        <f>+(440+595)/4</f>
        <v>258.75</v>
      </c>
      <c r="J681" s="490">
        <f t="shared" si="23"/>
        <v>658.75</v>
      </c>
      <c r="K681" s="327"/>
      <c r="L681" s="328"/>
    </row>
    <row r="682" spans="1:12" ht="20.25" customHeight="1" x14ac:dyDescent="0.2">
      <c r="A682" s="114">
        <v>678</v>
      </c>
      <c r="B682" s="1" t="s">
        <v>4017</v>
      </c>
      <c r="C682" s="6" t="s">
        <v>4018</v>
      </c>
      <c r="D682" s="7" t="s">
        <v>4019</v>
      </c>
      <c r="E682" s="2" t="s">
        <v>4016</v>
      </c>
      <c r="F682" s="99" t="s">
        <v>11</v>
      </c>
      <c r="G682" s="121">
        <v>100</v>
      </c>
      <c r="H682" s="122">
        <f t="shared" si="21"/>
        <v>400</v>
      </c>
      <c r="I682" s="450">
        <f>+(440+595)/4</f>
        <v>258.75</v>
      </c>
      <c r="J682" s="491">
        <f t="shared" si="23"/>
        <v>658.75</v>
      </c>
      <c r="K682" s="323"/>
      <c r="L682" s="324"/>
    </row>
    <row r="683" spans="1:12" ht="20.25" customHeight="1" x14ac:dyDescent="0.2">
      <c r="A683" s="114">
        <v>679</v>
      </c>
      <c r="B683" s="1" t="s">
        <v>4020</v>
      </c>
      <c r="C683" s="6" t="s">
        <v>4021</v>
      </c>
      <c r="D683" s="7" t="s">
        <v>4022</v>
      </c>
      <c r="E683" s="2" t="s">
        <v>4016</v>
      </c>
      <c r="F683" s="99" t="s">
        <v>14</v>
      </c>
      <c r="G683" s="121">
        <v>100</v>
      </c>
      <c r="H683" s="122">
        <f t="shared" si="21"/>
        <v>400</v>
      </c>
      <c r="I683" s="450">
        <f>+(440+595)/4</f>
        <v>258.75</v>
      </c>
      <c r="J683" s="491">
        <f t="shared" si="23"/>
        <v>658.75</v>
      </c>
      <c r="K683" s="323"/>
      <c r="L683" s="324"/>
    </row>
    <row r="684" spans="1:12" ht="20.25" customHeight="1" thickBot="1" x14ac:dyDescent="0.25">
      <c r="A684" s="158">
        <v>680</v>
      </c>
      <c r="B684" s="159" t="s">
        <v>4023</v>
      </c>
      <c r="C684" s="160" t="s">
        <v>2224</v>
      </c>
      <c r="D684" s="161" t="s">
        <v>394</v>
      </c>
      <c r="E684" s="162" t="s">
        <v>4016</v>
      </c>
      <c r="F684" s="163" t="s">
        <v>17</v>
      </c>
      <c r="G684" s="164">
        <v>50</v>
      </c>
      <c r="H684" s="153">
        <f t="shared" si="21"/>
        <v>450</v>
      </c>
      <c r="I684" s="451">
        <f>+(440+595)/4</f>
        <v>258.75</v>
      </c>
      <c r="J684" s="492">
        <f t="shared" si="23"/>
        <v>708.75</v>
      </c>
      <c r="K684" s="325"/>
      <c r="L684" s="326"/>
    </row>
    <row r="685" spans="1:12" ht="20.25" customHeight="1" x14ac:dyDescent="0.2">
      <c r="A685" s="108">
        <v>681</v>
      </c>
      <c r="B685" s="171" t="s">
        <v>4024</v>
      </c>
      <c r="C685" s="110" t="s">
        <v>4025</v>
      </c>
      <c r="D685" s="111" t="s">
        <v>4026</v>
      </c>
      <c r="E685" s="112" t="s">
        <v>4027</v>
      </c>
      <c r="F685" s="113" t="s">
        <v>8</v>
      </c>
      <c r="G685" s="119">
        <v>100</v>
      </c>
      <c r="H685" s="120">
        <f t="shared" si="21"/>
        <v>400</v>
      </c>
      <c r="I685" s="452">
        <f>+(990+920)/4</f>
        <v>477.5</v>
      </c>
      <c r="J685" s="490">
        <f t="shared" si="23"/>
        <v>877.5</v>
      </c>
      <c r="K685" s="327"/>
      <c r="L685" s="328"/>
    </row>
    <row r="686" spans="1:12" ht="20.25" customHeight="1" x14ac:dyDescent="0.2">
      <c r="A686" s="114">
        <v>682</v>
      </c>
      <c r="B686" s="1" t="s">
        <v>4028</v>
      </c>
      <c r="C686" s="6" t="s">
        <v>3638</v>
      </c>
      <c r="D686" s="7" t="s">
        <v>4029</v>
      </c>
      <c r="E686" s="2" t="s">
        <v>4027</v>
      </c>
      <c r="F686" s="99" t="s">
        <v>11</v>
      </c>
      <c r="G686" s="121">
        <v>30</v>
      </c>
      <c r="H686" s="122">
        <f t="shared" si="21"/>
        <v>470</v>
      </c>
      <c r="I686" s="450">
        <f>+(990+920)/4</f>
        <v>477.5</v>
      </c>
      <c r="J686" s="491">
        <f t="shared" si="23"/>
        <v>947.5</v>
      </c>
      <c r="K686" s="323"/>
      <c r="L686" s="324"/>
    </row>
    <row r="687" spans="1:12" ht="20.25" customHeight="1" x14ac:dyDescent="0.2">
      <c r="A687" s="114">
        <v>683</v>
      </c>
      <c r="B687" s="1" t="s">
        <v>4030</v>
      </c>
      <c r="C687" s="6" t="s">
        <v>3023</v>
      </c>
      <c r="D687" s="7" t="s">
        <v>4031</v>
      </c>
      <c r="E687" s="2" t="s">
        <v>4027</v>
      </c>
      <c r="F687" s="99" t="s">
        <v>14</v>
      </c>
      <c r="G687" s="121">
        <v>100</v>
      </c>
      <c r="H687" s="122">
        <f t="shared" si="21"/>
        <v>400</v>
      </c>
      <c r="I687" s="450">
        <f>+(990+920)/4</f>
        <v>477.5</v>
      </c>
      <c r="J687" s="491">
        <f t="shared" si="23"/>
        <v>877.5</v>
      </c>
      <c r="K687" s="323"/>
      <c r="L687" s="324"/>
    </row>
    <row r="688" spans="1:12" ht="20.25" customHeight="1" thickBot="1" x14ac:dyDescent="0.25">
      <c r="A688" s="158">
        <v>684</v>
      </c>
      <c r="B688" s="159" t="s">
        <v>4032</v>
      </c>
      <c r="C688" s="160" t="s">
        <v>4033</v>
      </c>
      <c r="D688" s="161" t="s">
        <v>4034</v>
      </c>
      <c r="E688" s="162" t="s">
        <v>4027</v>
      </c>
      <c r="F688" s="163" t="s">
        <v>17</v>
      </c>
      <c r="G688" s="164">
        <v>100</v>
      </c>
      <c r="H688" s="153">
        <f t="shared" si="21"/>
        <v>400</v>
      </c>
      <c r="I688" s="451">
        <f>+(990+920)/4</f>
        <v>477.5</v>
      </c>
      <c r="J688" s="492">
        <f t="shared" si="23"/>
        <v>877.5</v>
      </c>
      <c r="K688" s="325"/>
      <c r="L688" s="326"/>
    </row>
    <row r="689" spans="1:12" ht="20.25" customHeight="1" x14ac:dyDescent="0.2">
      <c r="A689" s="108">
        <v>685</v>
      </c>
      <c r="B689" s="174" t="s">
        <v>4035</v>
      </c>
      <c r="C689" s="175" t="s">
        <v>4036</v>
      </c>
      <c r="D689" s="176" t="s">
        <v>4037</v>
      </c>
      <c r="E689" s="177" t="s">
        <v>4038</v>
      </c>
      <c r="F689" s="178" t="s">
        <v>8</v>
      </c>
      <c r="G689" s="179">
        <v>100</v>
      </c>
      <c r="H689" s="120">
        <f t="shared" si="21"/>
        <v>400</v>
      </c>
      <c r="I689" s="452">
        <f>+(610+125)/3</f>
        <v>245</v>
      </c>
      <c r="J689" s="490">
        <f t="shared" si="23"/>
        <v>645</v>
      </c>
      <c r="K689" s="327"/>
      <c r="L689" s="328"/>
    </row>
    <row r="690" spans="1:12" ht="20.25" customHeight="1" x14ac:dyDescent="0.2">
      <c r="A690" s="114">
        <v>686</v>
      </c>
      <c r="B690" s="47" t="s">
        <v>4039</v>
      </c>
      <c r="C690" s="10" t="s">
        <v>4040</v>
      </c>
      <c r="D690" s="11" t="s">
        <v>4041</v>
      </c>
      <c r="E690" s="5" t="s">
        <v>4038</v>
      </c>
      <c r="F690" s="100" t="s">
        <v>11</v>
      </c>
      <c r="G690" s="125">
        <v>150</v>
      </c>
      <c r="H690" s="122">
        <f t="shared" si="21"/>
        <v>350</v>
      </c>
      <c r="I690" s="450">
        <f>+(610+125)/3</f>
        <v>245</v>
      </c>
      <c r="J690" s="491">
        <f t="shared" si="23"/>
        <v>595</v>
      </c>
      <c r="K690" s="323"/>
      <c r="L690" s="324"/>
    </row>
    <row r="691" spans="1:12" ht="20.25" customHeight="1" x14ac:dyDescent="0.2">
      <c r="A691" s="114">
        <v>687</v>
      </c>
      <c r="B691" s="47" t="s">
        <v>4042</v>
      </c>
      <c r="C691" s="10" t="s">
        <v>2629</v>
      </c>
      <c r="D691" s="11" t="s">
        <v>4043</v>
      </c>
      <c r="E691" s="5" t="s">
        <v>4038</v>
      </c>
      <c r="F691" s="100" t="s">
        <v>14</v>
      </c>
      <c r="G691" s="125">
        <v>100</v>
      </c>
      <c r="H691" s="122">
        <f t="shared" si="21"/>
        <v>400</v>
      </c>
      <c r="I691" s="450">
        <f>+(610+125)/3</f>
        <v>245</v>
      </c>
      <c r="J691" s="491">
        <f t="shared" si="23"/>
        <v>645</v>
      </c>
      <c r="K691" s="323"/>
      <c r="L691" s="324"/>
    </row>
    <row r="692" spans="1:12" ht="20.25" customHeight="1" thickBot="1" x14ac:dyDescent="0.25">
      <c r="A692" s="158">
        <v>688</v>
      </c>
      <c r="B692" s="217"/>
      <c r="C692" s="218" t="s">
        <v>4876</v>
      </c>
      <c r="D692" s="219"/>
      <c r="E692" s="220" t="s">
        <v>4038</v>
      </c>
      <c r="F692" s="218">
        <v>4</v>
      </c>
      <c r="G692" s="221">
        <v>0</v>
      </c>
      <c r="H692" s="222"/>
      <c r="I692" s="291"/>
      <c r="J692" s="492">
        <f t="shared" si="23"/>
        <v>0</v>
      </c>
      <c r="K692" s="337" t="s">
        <v>4876</v>
      </c>
      <c r="L692" s="326"/>
    </row>
    <row r="693" spans="1:12" ht="20.25" customHeight="1" x14ac:dyDescent="0.2">
      <c r="A693" s="108">
        <v>689</v>
      </c>
      <c r="B693" s="174" t="s">
        <v>4044</v>
      </c>
      <c r="C693" s="175" t="s">
        <v>4045</v>
      </c>
      <c r="D693" s="176" t="s">
        <v>4046</v>
      </c>
      <c r="E693" s="177" t="s">
        <v>4047</v>
      </c>
      <c r="F693" s="178" t="s">
        <v>8</v>
      </c>
      <c r="G693" s="179">
        <v>50</v>
      </c>
      <c r="H693" s="120">
        <f t="shared" si="21"/>
        <v>450</v>
      </c>
      <c r="I693" s="452">
        <f>+(1465+1820)/4</f>
        <v>821.25</v>
      </c>
      <c r="J693" s="490">
        <f t="shared" si="23"/>
        <v>1271.25</v>
      </c>
      <c r="K693" s="327"/>
      <c r="L693" s="328"/>
    </row>
    <row r="694" spans="1:12" ht="20.25" customHeight="1" x14ac:dyDescent="0.2">
      <c r="A694" s="114">
        <v>690</v>
      </c>
      <c r="B694" s="47" t="s">
        <v>4048</v>
      </c>
      <c r="C694" s="10" t="s">
        <v>4049</v>
      </c>
      <c r="D694" s="11" t="s">
        <v>4050</v>
      </c>
      <c r="E694" s="5" t="s">
        <v>4047</v>
      </c>
      <c r="F694" s="100" t="s">
        <v>11</v>
      </c>
      <c r="G694" s="125">
        <v>50</v>
      </c>
      <c r="H694" s="122">
        <f t="shared" si="21"/>
        <v>450</v>
      </c>
      <c r="I694" s="450">
        <f>+(1465+1820)/4</f>
        <v>821.25</v>
      </c>
      <c r="J694" s="491">
        <f t="shared" si="23"/>
        <v>1271.25</v>
      </c>
      <c r="K694" s="323"/>
      <c r="L694" s="324"/>
    </row>
    <row r="695" spans="1:12" ht="20.25" customHeight="1" x14ac:dyDescent="0.2">
      <c r="A695" s="114">
        <v>691</v>
      </c>
      <c r="B695" s="47" t="s">
        <v>4992</v>
      </c>
      <c r="C695" s="10" t="s">
        <v>4924</v>
      </c>
      <c r="D695" s="11" t="s">
        <v>4925</v>
      </c>
      <c r="E695" s="5" t="s">
        <v>4047</v>
      </c>
      <c r="F695" s="100" t="s">
        <v>14</v>
      </c>
      <c r="G695" s="125">
        <v>150</v>
      </c>
      <c r="H695" s="122">
        <f t="shared" si="21"/>
        <v>350</v>
      </c>
      <c r="I695" s="450">
        <f>+(1465+1820)/4</f>
        <v>821.25</v>
      </c>
      <c r="J695" s="491">
        <f t="shared" si="23"/>
        <v>1171.25</v>
      </c>
      <c r="K695" s="323"/>
      <c r="L695" s="324"/>
    </row>
    <row r="696" spans="1:12" ht="20.25" customHeight="1" thickBot="1" x14ac:dyDescent="0.25">
      <c r="A696" s="158">
        <v>692</v>
      </c>
      <c r="B696" s="192" t="s">
        <v>4051</v>
      </c>
      <c r="C696" s="193" t="s">
        <v>2296</v>
      </c>
      <c r="D696" s="194" t="s">
        <v>4052</v>
      </c>
      <c r="E696" s="195" t="s">
        <v>4047</v>
      </c>
      <c r="F696" s="196" t="s">
        <v>17</v>
      </c>
      <c r="G696" s="197">
        <v>50</v>
      </c>
      <c r="H696" s="153">
        <f t="shared" si="21"/>
        <v>450</v>
      </c>
      <c r="I696" s="451">
        <f>+(1465+1820)/4</f>
        <v>821.25</v>
      </c>
      <c r="J696" s="492">
        <f t="shared" si="23"/>
        <v>1271.25</v>
      </c>
      <c r="K696" s="325"/>
      <c r="L696" s="326"/>
    </row>
    <row r="697" spans="1:12" ht="20.25" customHeight="1" x14ac:dyDescent="0.2">
      <c r="A697" s="320">
        <v>693</v>
      </c>
      <c r="B697" s="205"/>
      <c r="C697" s="206" t="s">
        <v>4946</v>
      </c>
      <c r="D697" s="207"/>
      <c r="E697" s="208" t="s">
        <v>4056</v>
      </c>
      <c r="F697" s="206" t="s">
        <v>8</v>
      </c>
      <c r="G697" s="209"/>
      <c r="H697" s="210"/>
      <c r="I697" s="288"/>
      <c r="J697" s="498">
        <f t="shared" si="23"/>
        <v>0</v>
      </c>
      <c r="K697" s="335" t="s">
        <v>4946</v>
      </c>
      <c r="L697" s="328"/>
    </row>
    <row r="698" spans="1:12" ht="20.25" customHeight="1" x14ac:dyDescent="0.2">
      <c r="A698" s="114">
        <v>694</v>
      </c>
      <c r="B698" s="47" t="s">
        <v>4053</v>
      </c>
      <c r="C698" s="10" t="s">
        <v>4054</v>
      </c>
      <c r="D698" s="11" t="s">
        <v>4055</v>
      </c>
      <c r="E698" s="5" t="s">
        <v>4056</v>
      </c>
      <c r="F698" s="100" t="s">
        <v>11</v>
      </c>
      <c r="G698" s="125">
        <v>100</v>
      </c>
      <c r="H698" s="122">
        <f t="shared" si="21"/>
        <v>400</v>
      </c>
      <c r="I698" s="450">
        <f>+(1585+1955)/3</f>
        <v>1180</v>
      </c>
      <c r="J698" s="491">
        <f t="shared" si="23"/>
        <v>1580</v>
      </c>
      <c r="K698" s="323"/>
      <c r="L698" s="324"/>
    </row>
    <row r="699" spans="1:12" ht="20.25" customHeight="1" x14ac:dyDescent="0.2">
      <c r="A699" s="114">
        <v>695</v>
      </c>
      <c r="B699" s="47" t="s">
        <v>4057</v>
      </c>
      <c r="C699" s="10" t="s">
        <v>3312</v>
      </c>
      <c r="D699" s="11" t="s">
        <v>4058</v>
      </c>
      <c r="E699" s="5" t="s">
        <v>4056</v>
      </c>
      <c r="F699" s="100" t="s">
        <v>14</v>
      </c>
      <c r="G699" s="125">
        <v>50</v>
      </c>
      <c r="H699" s="122">
        <f t="shared" si="21"/>
        <v>450</v>
      </c>
      <c r="I699" s="450">
        <f>+(1585+1955)/3</f>
        <v>1180</v>
      </c>
      <c r="J699" s="491">
        <f t="shared" si="23"/>
        <v>1630</v>
      </c>
      <c r="K699" s="323"/>
      <c r="L699" s="324"/>
    </row>
    <row r="700" spans="1:12" ht="20.25" customHeight="1" thickBot="1" x14ac:dyDescent="0.25">
      <c r="A700" s="158">
        <v>696</v>
      </c>
      <c r="B700" s="192" t="s">
        <v>4059</v>
      </c>
      <c r="C700" s="193" t="s">
        <v>4060</v>
      </c>
      <c r="D700" s="194" t="s">
        <v>4061</v>
      </c>
      <c r="E700" s="195" t="s">
        <v>4056</v>
      </c>
      <c r="F700" s="196" t="s">
        <v>17</v>
      </c>
      <c r="G700" s="197">
        <v>100</v>
      </c>
      <c r="H700" s="153">
        <f t="shared" si="21"/>
        <v>400</v>
      </c>
      <c r="I700" s="451">
        <f>+(1585+1955)/3</f>
        <v>1180</v>
      </c>
      <c r="J700" s="492">
        <f t="shared" si="23"/>
        <v>1580</v>
      </c>
      <c r="K700" s="325"/>
      <c r="L700" s="326"/>
    </row>
    <row r="701" spans="1:12" ht="20.25" customHeight="1" x14ac:dyDescent="0.2">
      <c r="A701" s="108">
        <v>697</v>
      </c>
      <c r="B701" s="174" t="s">
        <v>4062</v>
      </c>
      <c r="C701" s="175" t="s">
        <v>4063</v>
      </c>
      <c r="D701" s="176" t="s">
        <v>4064</v>
      </c>
      <c r="E701" s="177" t="s">
        <v>4065</v>
      </c>
      <c r="F701" s="178" t="s">
        <v>8</v>
      </c>
      <c r="G701" s="179">
        <v>100</v>
      </c>
      <c r="H701" s="120">
        <f t="shared" si="21"/>
        <v>400</v>
      </c>
      <c r="I701" s="452">
        <f>+(535+415)/4</f>
        <v>237.5</v>
      </c>
      <c r="J701" s="490">
        <f t="shared" si="23"/>
        <v>637.5</v>
      </c>
      <c r="K701" s="327"/>
      <c r="L701" s="328"/>
    </row>
    <row r="702" spans="1:12" ht="20.25" customHeight="1" x14ac:dyDescent="0.2">
      <c r="A702" s="114">
        <v>698</v>
      </c>
      <c r="B702" s="47" t="s">
        <v>4066</v>
      </c>
      <c r="C702" s="10" t="s">
        <v>4067</v>
      </c>
      <c r="D702" s="11" t="s">
        <v>4068</v>
      </c>
      <c r="E702" s="5" t="s">
        <v>4065</v>
      </c>
      <c r="F702" s="100" t="s">
        <v>11</v>
      </c>
      <c r="G702" s="125">
        <v>100</v>
      </c>
      <c r="H702" s="122">
        <f t="shared" si="21"/>
        <v>400</v>
      </c>
      <c r="I702" s="450">
        <f>+(535+415)/4</f>
        <v>237.5</v>
      </c>
      <c r="J702" s="491">
        <f t="shared" si="23"/>
        <v>637.5</v>
      </c>
      <c r="K702" s="323"/>
      <c r="L702" s="324"/>
    </row>
    <row r="703" spans="1:12" ht="20.25" customHeight="1" x14ac:dyDescent="0.2">
      <c r="A703" s="114">
        <v>699</v>
      </c>
      <c r="B703" s="47" t="s">
        <v>4069</v>
      </c>
      <c r="C703" s="10" t="s">
        <v>3792</v>
      </c>
      <c r="D703" s="11" t="s">
        <v>4070</v>
      </c>
      <c r="E703" s="5" t="s">
        <v>4065</v>
      </c>
      <c r="F703" s="100" t="s">
        <v>14</v>
      </c>
      <c r="G703" s="125">
        <v>100</v>
      </c>
      <c r="H703" s="122">
        <f t="shared" si="21"/>
        <v>400</v>
      </c>
      <c r="I703" s="450">
        <f>+(535+415)/4</f>
        <v>237.5</v>
      </c>
      <c r="J703" s="491">
        <f t="shared" si="23"/>
        <v>637.5</v>
      </c>
      <c r="K703" s="323"/>
      <c r="L703" s="324"/>
    </row>
    <row r="704" spans="1:12" ht="20.25" customHeight="1" thickBot="1" x14ac:dyDescent="0.25">
      <c r="A704" s="158">
        <v>700</v>
      </c>
      <c r="B704" s="192" t="s">
        <v>4993</v>
      </c>
      <c r="C704" s="193" t="s">
        <v>4092</v>
      </c>
      <c r="D704" s="194" t="s">
        <v>4926</v>
      </c>
      <c r="E704" s="195" t="s">
        <v>4065</v>
      </c>
      <c r="F704" s="196" t="s">
        <v>17</v>
      </c>
      <c r="G704" s="197">
        <v>150</v>
      </c>
      <c r="H704" s="153">
        <f t="shared" si="21"/>
        <v>350</v>
      </c>
      <c r="I704" s="451">
        <f>+(535+415)/4</f>
        <v>237.5</v>
      </c>
      <c r="J704" s="492">
        <f t="shared" si="23"/>
        <v>587.5</v>
      </c>
      <c r="K704" s="325"/>
      <c r="L704" s="326"/>
    </row>
    <row r="705" spans="1:12" ht="20.25" customHeight="1" x14ac:dyDescent="0.2">
      <c r="A705" s="108">
        <v>701</v>
      </c>
      <c r="B705" s="174" t="s">
        <v>4071</v>
      </c>
      <c r="C705" s="175" t="s">
        <v>4072</v>
      </c>
      <c r="D705" s="176" t="s">
        <v>4073</v>
      </c>
      <c r="E705" s="177" t="s">
        <v>4074</v>
      </c>
      <c r="F705" s="178" t="s">
        <v>8</v>
      </c>
      <c r="G705" s="179">
        <v>100</v>
      </c>
      <c r="H705" s="120">
        <f t="shared" si="21"/>
        <v>400</v>
      </c>
      <c r="I705" s="452">
        <f>+(420+1220)/4</f>
        <v>410</v>
      </c>
      <c r="J705" s="490">
        <f t="shared" si="23"/>
        <v>810</v>
      </c>
      <c r="K705" s="327"/>
      <c r="L705" s="328"/>
    </row>
    <row r="706" spans="1:12" ht="20.25" customHeight="1" x14ac:dyDescent="0.2">
      <c r="A706" s="114">
        <v>702</v>
      </c>
      <c r="B706" s="1" t="s">
        <v>4075</v>
      </c>
      <c r="C706" s="6" t="s">
        <v>4076</v>
      </c>
      <c r="D706" s="7" t="s">
        <v>4077</v>
      </c>
      <c r="E706" s="2" t="s">
        <v>4074</v>
      </c>
      <c r="F706" s="99" t="s">
        <v>11</v>
      </c>
      <c r="G706" s="121">
        <v>150</v>
      </c>
      <c r="H706" s="122">
        <f t="shared" si="21"/>
        <v>350</v>
      </c>
      <c r="I706" s="450">
        <f>+(420+1220)/4</f>
        <v>410</v>
      </c>
      <c r="J706" s="491">
        <f t="shared" si="23"/>
        <v>760</v>
      </c>
      <c r="K706" s="323"/>
      <c r="L706" s="324"/>
    </row>
    <row r="707" spans="1:12" ht="20.25" customHeight="1" x14ac:dyDescent="0.2">
      <c r="A707" s="114">
        <v>703</v>
      </c>
      <c r="B707" s="1" t="s">
        <v>4078</v>
      </c>
      <c r="C707" s="6" t="s">
        <v>4079</v>
      </c>
      <c r="D707" s="7" t="s">
        <v>4080</v>
      </c>
      <c r="E707" s="2" t="s">
        <v>4074</v>
      </c>
      <c r="F707" s="99" t="s">
        <v>14</v>
      </c>
      <c r="G707" s="121">
        <v>150</v>
      </c>
      <c r="H707" s="122">
        <f t="shared" si="21"/>
        <v>350</v>
      </c>
      <c r="I707" s="450">
        <f>+(420+1220)/4</f>
        <v>410</v>
      </c>
      <c r="J707" s="491">
        <f t="shared" si="23"/>
        <v>760</v>
      </c>
      <c r="K707" s="323"/>
      <c r="L707" s="324"/>
    </row>
    <row r="708" spans="1:12" ht="20.25" customHeight="1" thickBot="1" x14ac:dyDescent="0.25">
      <c r="A708" s="158">
        <v>704</v>
      </c>
      <c r="B708" s="159" t="s">
        <v>4081</v>
      </c>
      <c r="C708" s="160" t="s">
        <v>4082</v>
      </c>
      <c r="D708" s="161" t="s">
        <v>4083</v>
      </c>
      <c r="E708" s="162" t="s">
        <v>4074</v>
      </c>
      <c r="F708" s="163" t="s">
        <v>17</v>
      </c>
      <c r="G708" s="164">
        <v>50</v>
      </c>
      <c r="H708" s="153">
        <f t="shared" si="21"/>
        <v>450</v>
      </c>
      <c r="I708" s="451">
        <f>+(420+1220)/4</f>
        <v>410</v>
      </c>
      <c r="J708" s="492">
        <f t="shared" si="23"/>
        <v>860</v>
      </c>
      <c r="K708" s="325"/>
      <c r="L708" s="326"/>
    </row>
    <row r="709" spans="1:12" ht="20.25" customHeight="1" x14ac:dyDescent="0.2">
      <c r="A709" s="108">
        <v>705</v>
      </c>
      <c r="B709" s="171" t="s">
        <v>4084</v>
      </c>
      <c r="C709" s="110" t="s">
        <v>4085</v>
      </c>
      <c r="D709" s="111" t="s">
        <v>4086</v>
      </c>
      <c r="E709" s="112" t="s">
        <v>4087</v>
      </c>
      <c r="F709" s="113" t="s">
        <v>8</v>
      </c>
      <c r="G709" s="119">
        <v>350</v>
      </c>
      <c r="H709" s="120">
        <f t="shared" si="21"/>
        <v>150</v>
      </c>
      <c r="I709" s="452">
        <f>+(515+900)/3</f>
        <v>471.66666666666669</v>
      </c>
      <c r="J709" s="490">
        <f t="shared" si="23"/>
        <v>621.66666666666674</v>
      </c>
      <c r="K709" s="327"/>
      <c r="L709" s="328"/>
    </row>
    <row r="710" spans="1:12" ht="20.25" customHeight="1" x14ac:dyDescent="0.2">
      <c r="A710" s="114">
        <v>706</v>
      </c>
      <c r="B710" s="1" t="s">
        <v>4088</v>
      </c>
      <c r="C710" s="6" t="s">
        <v>4089</v>
      </c>
      <c r="D710" s="7" t="s">
        <v>4090</v>
      </c>
      <c r="E710" s="2" t="s">
        <v>4087</v>
      </c>
      <c r="F710" s="99" t="s">
        <v>11</v>
      </c>
      <c r="G710" s="121">
        <v>50</v>
      </c>
      <c r="H710" s="122">
        <f t="shared" ref="H710:H773" si="24">500-G710</f>
        <v>450</v>
      </c>
      <c r="I710" s="450">
        <f>+(515+900)/3</f>
        <v>471.66666666666669</v>
      </c>
      <c r="J710" s="491">
        <f t="shared" si="23"/>
        <v>921.66666666666674</v>
      </c>
      <c r="K710" s="323"/>
      <c r="L710" s="324"/>
    </row>
    <row r="711" spans="1:12" ht="20.25" customHeight="1" x14ac:dyDescent="0.2">
      <c r="A711" s="114">
        <v>707</v>
      </c>
      <c r="B711" s="1" t="s">
        <v>4091</v>
      </c>
      <c r="C711" s="6" t="s">
        <v>4092</v>
      </c>
      <c r="D711" s="7" t="s">
        <v>4093</v>
      </c>
      <c r="E711" s="2" t="s">
        <v>4087</v>
      </c>
      <c r="F711" s="99" t="s">
        <v>14</v>
      </c>
      <c r="G711" s="121">
        <v>100</v>
      </c>
      <c r="H711" s="122">
        <f t="shared" si="24"/>
        <v>400</v>
      </c>
      <c r="I711" s="450">
        <f>+(515+900)/3</f>
        <v>471.66666666666669</v>
      </c>
      <c r="J711" s="491">
        <f t="shared" si="23"/>
        <v>871.66666666666674</v>
      </c>
      <c r="K711" s="323"/>
      <c r="L711" s="324"/>
    </row>
    <row r="712" spans="1:12" ht="20.25" customHeight="1" thickBot="1" x14ac:dyDescent="0.25">
      <c r="A712" s="319">
        <v>708</v>
      </c>
      <c r="B712" s="226"/>
      <c r="C712" s="184" t="s">
        <v>4946</v>
      </c>
      <c r="D712" s="227"/>
      <c r="E712" s="183" t="s">
        <v>4087</v>
      </c>
      <c r="F712" s="184" t="s">
        <v>17</v>
      </c>
      <c r="G712" s="228"/>
      <c r="H712" s="185"/>
      <c r="I712" s="286"/>
      <c r="J712" s="493">
        <f t="shared" si="23"/>
        <v>0</v>
      </c>
      <c r="K712" s="329" t="s">
        <v>4946</v>
      </c>
      <c r="L712" s="326"/>
    </row>
    <row r="713" spans="1:12" ht="20.25" customHeight="1" x14ac:dyDescent="0.2">
      <c r="A713" s="108">
        <v>709</v>
      </c>
      <c r="B713" s="174" t="s">
        <v>4048</v>
      </c>
      <c r="C713" s="175" t="s">
        <v>4049</v>
      </c>
      <c r="D713" s="176" t="s">
        <v>4050</v>
      </c>
      <c r="E713" s="177" t="s">
        <v>4096</v>
      </c>
      <c r="F713" s="178" t="s">
        <v>8</v>
      </c>
      <c r="G713" s="179">
        <v>150</v>
      </c>
      <c r="H713" s="120">
        <f t="shared" si="24"/>
        <v>350</v>
      </c>
      <c r="I713" s="452">
        <f>+(1400+1500)/3</f>
        <v>966.66666666666663</v>
      </c>
      <c r="J713" s="490">
        <f t="shared" si="23"/>
        <v>1316.6666666666665</v>
      </c>
      <c r="K713" s="327"/>
      <c r="L713" s="328"/>
    </row>
    <row r="714" spans="1:12" ht="20.25" customHeight="1" x14ac:dyDescent="0.2">
      <c r="A714" s="114">
        <v>710</v>
      </c>
      <c r="B714" s="47" t="s">
        <v>4094</v>
      </c>
      <c r="C714" s="10" t="s">
        <v>3532</v>
      </c>
      <c r="D714" s="11" t="s">
        <v>4095</v>
      </c>
      <c r="E714" s="5" t="s">
        <v>4096</v>
      </c>
      <c r="F714" s="100" t="s">
        <v>11</v>
      </c>
      <c r="G714" s="125">
        <v>150</v>
      </c>
      <c r="H714" s="122">
        <f t="shared" si="24"/>
        <v>350</v>
      </c>
      <c r="I714" s="450">
        <f>+(1400+1500)/3</f>
        <v>966.66666666666663</v>
      </c>
      <c r="J714" s="491">
        <f t="shared" si="23"/>
        <v>1316.6666666666665</v>
      </c>
      <c r="K714" s="323"/>
      <c r="L714" s="324"/>
    </row>
    <row r="715" spans="1:12" ht="20.25" customHeight="1" x14ac:dyDescent="0.2">
      <c r="A715" s="114">
        <v>711</v>
      </c>
      <c r="B715" s="47" t="s">
        <v>4097</v>
      </c>
      <c r="C715" s="10" t="s">
        <v>4098</v>
      </c>
      <c r="D715" s="11" t="s">
        <v>4099</v>
      </c>
      <c r="E715" s="5" t="s">
        <v>4096</v>
      </c>
      <c r="F715" s="100" t="s">
        <v>14</v>
      </c>
      <c r="G715" s="125">
        <v>150</v>
      </c>
      <c r="H715" s="122">
        <f t="shared" si="24"/>
        <v>350</v>
      </c>
      <c r="I715" s="450">
        <f>+(1400+1500)/3</f>
        <v>966.66666666666663</v>
      </c>
      <c r="J715" s="491">
        <f t="shared" si="23"/>
        <v>1316.6666666666665</v>
      </c>
      <c r="K715" s="323"/>
      <c r="L715" s="324"/>
    </row>
    <row r="716" spans="1:12" ht="20.25" customHeight="1" thickBot="1" x14ac:dyDescent="0.25">
      <c r="A716" s="158">
        <v>712</v>
      </c>
      <c r="B716" s="217"/>
      <c r="C716" s="218" t="s">
        <v>4876</v>
      </c>
      <c r="D716" s="219"/>
      <c r="E716" s="220" t="s">
        <v>4096</v>
      </c>
      <c r="F716" s="218" t="s">
        <v>17</v>
      </c>
      <c r="G716" s="221"/>
      <c r="H716" s="222"/>
      <c r="I716" s="291"/>
      <c r="J716" s="492">
        <f t="shared" si="23"/>
        <v>0</v>
      </c>
      <c r="K716" s="337" t="s">
        <v>4876</v>
      </c>
      <c r="L716" s="326"/>
    </row>
    <row r="717" spans="1:12" ht="20.25" customHeight="1" x14ac:dyDescent="0.2">
      <c r="A717" s="108">
        <v>713</v>
      </c>
      <c r="B717" s="171" t="s">
        <v>4100</v>
      </c>
      <c r="C717" s="110" t="s">
        <v>4101</v>
      </c>
      <c r="D717" s="111" t="s">
        <v>1492</v>
      </c>
      <c r="E717" s="112" t="s">
        <v>4102</v>
      </c>
      <c r="F717" s="113" t="s">
        <v>8</v>
      </c>
      <c r="G717" s="119">
        <v>200</v>
      </c>
      <c r="H717" s="120">
        <f t="shared" si="24"/>
        <v>300</v>
      </c>
      <c r="I717" s="452">
        <f>+(825+855)/4</f>
        <v>420</v>
      </c>
      <c r="J717" s="490">
        <f t="shared" si="23"/>
        <v>720</v>
      </c>
      <c r="K717" s="327"/>
      <c r="L717" s="328"/>
    </row>
    <row r="718" spans="1:12" ht="20.25" customHeight="1" x14ac:dyDescent="0.2">
      <c r="A718" s="114">
        <v>714</v>
      </c>
      <c r="B718" s="1" t="s">
        <v>4103</v>
      </c>
      <c r="C718" s="6" t="s">
        <v>4104</v>
      </c>
      <c r="D718" s="7" t="s">
        <v>4105</v>
      </c>
      <c r="E718" s="2" t="s">
        <v>4102</v>
      </c>
      <c r="F718" s="99" t="s">
        <v>11</v>
      </c>
      <c r="G718" s="121">
        <v>100</v>
      </c>
      <c r="H718" s="122">
        <f t="shared" si="24"/>
        <v>400</v>
      </c>
      <c r="I718" s="450">
        <f>+(825+855)/4</f>
        <v>420</v>
      </c>
      <c r="J718" s="491">
        <f t="shared" si="23"/>
        <v>820</v>
      </c>
      <c r="K718" s="323"/>
      <c r="L718" s="324"/>
    </row>
    <row r="719" spans="1:12" ht="20.25" customHeight="1" x14ac:dyDescent="0.2">
      <c r="A719" s="114">
        <v>715</v>
      </c>
      <c r="B719" s="1" t="s">
        <v>4106</v>
      </c>
      <c r="C719" s="6" t="s">
        <v>4107</v>
      </c>
      <c r="D719" s="7" t="s">
        <v>4108</v>
      </c>
      <c r="E719" s="2" t="s">
        <v>4102</v>
      </c>
      <c r="F719" s="99" t="s">
        <v>14</v>
      </c>
      <c r="G719" s="121">
        <v>150</v>
      </c>
      <c r="H719" s="122">
        <f t="shared" si="24"/>
        <v>350</v>
      </c>
      <c r="I719" s="450">
        <f>+(825+855)/4</f>
        <v>420</v>
      </c>
      <c r="J719" s="491">
        <f t="shared" si="23"/>
        <v>770</v>
      </c>
      <c r="K719" s="323"/>
      <c r="L719" s="324"/>
    </row>
    <row r="720" spans="1:12" ht="20.25" customHeight="1" thickBot="1" x14ac:dyDescent="0.25">
      <c r="A720" s="158">
        <v>716</v>
      </c>
      <c r="B720" s="159" t="s">
        <v>4109</v>
      </c>
      <c r="C720" s="160" t="s">
        <v>3421</v>
      </c>
      <c r="D720" s="161" t="s">
        <v>4110</v>
      </c>
      <c r="E720" s="162" t="s">
        <v>4102</v>
      </c>
      <c r="F720" s="163" t="s">
        <v>17</v>
      </c>
      <c r="G720" s="164">
        <v>150</v>
      </c>
      <c r="H720" s="153">
        <f t="shared" si="24"/>
        <v>350</v>
      </c>
      <c r="I720" s="451">
        <f>+(825+855)/4</f>
        <v>420</v>
      </c>
      <c r="J720" s="492">
        <f t="shared" si="23"/>
        <v>770</v>
      </c>
      <c r="K720" s="325"/>
      <c r="L720" s="326"/>
    </row>
    <row r="721" spans="1:12" ht="20.25" customHeight="1" x14ac:dyDescent="0.2">
      <c r="A721" s="108">
        <v>717</v>
      </c>
      <c r="B721" s="171" t="s">
        <v>4111</v>
      </c>
      <c r="C721" s="110" t="s">
        <v>4112</v>
      </c>
      <c r="D721" s="111" t="s">
        <v>4113</v>
      </c>
      <c r="E721" s="112" t="s">
        <v>4114</v>
      </c>
      <c r="F721" s="113" t="s">
        <v>8</v>
      </c>
      <c r="G721" s="119">
        <v>50</v>
      </c>
      <c r="H721" s="120">
        <f t="shared" si="24"/>
        <v>450</v>
      </c>
      <c r="I721" s="452">
        <f>+(395+920)/4</f>
        <v>328.75</v>
      </c>
      <c r="J721" s="490">
        <f t="shared" ref="J721:J784" si="25">SUM(H721:I721)</f>
        <v>778.75</v>
      </c>
      <c r="K721" s="327"/>
      <c r="L721" s="328"/>
    </row>
    <row r="722" spans="1:12" ht="20.25" customHeight="1" x14ac:dyDescent="0.2">
      <c r="A722" s="114">
        <v>718</v>
      </c>
      <c r="B722" s="1" t="s">
        <v>4115</v>
      </c>
      <c r="C722" s="6" t="s">
        <v>4116</v>
      </c>
      <c r="D722" s="7" t="s">
        <v>4117</v>
      </c>
      <c r="E722" s="2" t="s">
        <v>4114</v>
      </c>
      <c r="F722" s="99" t="s">
        <v>11</v>
      </c>
      <c r="G722" s="121">
        <v>50</v>
      </c>
      <c r="H722" s="122">
        <f t="shared" si="24"/>
        <v>450</v>
      </c>
      <c r="I722" s="450">
        <f>+(395+920)/4</f>
        <v>328.75</v>
      </c>
      <c r="J722" s="491">
        <f t="shared" si="25"/>
        <v>778.75</v>
      </c>
      <c r="K722" s="323"/>
      <c r="L722" s="324"/>
    </row>
    <row r="723" spans="1:12" ht="20.25" customHeight="1" x14ac:dyDescent="0.2">
      <c r="A723" s="114">
        <v>719</v>
      </c>
      <c r="B723" s="1" t="s">
        <v>4118</v>
      </c>
      <c r="C723" s="6" t="s">
        <v>4119</v>
      </c>
      <c r="D723" s="7" t="s">
        <v>4120</v>
      </c>
      <c r="E723" s="2" t="s">
        <v>4114</v>
      </c>
      <c r="F723" s="99" t="s">
        <v>14</v>
      </c>
      <c r="G723" s="121">
        <v>150</v>
      </c>
      <c r="H723" s="122">
        <f t="shared" si="24"/>
        <v>350</v>
      </c>
      <c r="I723" s="450">
        <f>+(395+920)/4</f>
        <v>328.75</v>
      </c>
      <c r="J723" s="491">
        <f t="shared" si="25"/>
        <v>678.75</v>
      </c>
      <c r="K723" s="323"/>
      <c r="L723" s="324"/>
    </row>
    <row r="724" spans="1:12" ht="20.25" customHeight="1" thickBot="1" x14ac:dyDescent="0.25">
      <c r="A724" s="158">
        <v>720</v>
      </c>
      <c r="B724" s="159" t="s">
        <v>4121</v>
      </c>
      <c r="C724" s="160" t="s">
        <v>3549</v>
      </c>
      <c r="D724" s="161" t="s">
        <v>4122</v>
      </c>
      <c r="E724" s="162" t="s">
        <v>4114</v>
      </c>
      <c r="F724" s="163" t="s">
        <v>17</v>
      </c>
      <c r="G724" s="164">
        <v>200</v>
      </c>
      <c r="H724" s="153">
        <f t="shared" si="24"/>
        <v>300</v>
      </c>
      <c r="I724" s="451">
        <f>+(395+920)/4</f>
        <v>328.75</v>
      </c>
      <c r="J724" s="492">
        <f t="shared" si="25"/>
        <v>628.75</v>
      </c>
      <c r="K724" s="325"/>
      <c r="L724" s="326"/>
    </row>
    <row r="725" spans="1:12" ht="20.25" customHeight="1" x14ac:dyDescent="0.2">
      <c r="A725" s="108">
        <v>721</v>
      </c>
      <c r="B725" s="171" t="s">
        <v>4123</v>
      </c>
      <c r="C725" s="110" t="s">
        <v>4124</v>
      </c>
      <c r="D725" s="111" t="s">
        <v>4125</v>
      </c>
      <c r="E725" s="112" t="s">
        <v>4126</v>
      </c>
      <c r="F725" s="113" t="s">
        <v>8</v>
      </c>
      <c r="G725" s="119">
        <v>50</v>
      </c>
      <c r="H725" s="120">
        <f t="shared" si="24"/>
        <v>450</v>
      </c>
      <c r="I725" s="452">
        <f>+(515+945)/4</f>
        <v>365</v>
      </c>
      <c r="J725" s="490">
        <f t="shared" si="25"/>
        <v>815</v>
      </c>
      <c r="K725" s="327"/>
      <c r="L725" s="328"/>
    </row>
    <row r="726" spans="1:12" ht="20.25" customHeight="1" x14ac:dyDescent="0.2">
      <c r="A726" s="114">
        <v>722</v>
      </c>
      <c r="B726" s="1" t="s">
        <v>4127</v>
      </c>
      <c r="C726" s="6" t="s">
        <v>4128</v>
      </c>
      <c r="D726" s="7" t="s">
        <v>4129</v>
      </c>
      <c r="E726" s="2" t="s">
        <v>4126</v>
      </c>
      <c r="F726" s="99" t="s">
        <v>11</v>
      </c>
      <c r="G726" s="121">
        <v>100</v>
      </c>
      <c r="H726" s="122">
        <f t="shared" si="24"/>
        <v>400</v>
      </c>
      <c r="I726" s="450">
        <f>+(515+945)/4</f>
        <v>365</v>
      </c>
      <c r="J726" s="491">
        <f t="shared" si="25"/>
        <v>765</v>
      </c>
      <c r="K726" s="323"/>
      <c r="L726" s="324"/>
    </row>
    <row r="727" spans="1:12" ht="20.25" customHeight="1" x14ac:dyDescent="0.2">
      <c r="A727" s="114">
        <v>723</v>
      </c>
      <c r="B727" s="1" t="s">
        <v>4130</v>
      </c>
      <c r="C727" s="6" t="s">
        <v>4131</v>
      </c>
      <c r="D727" s="7" t="s">
        <v>4132</v>
      </c>
      <c r="E727" s="2" t="s">
        <v>4126</v>
      </c>
      <c r="F727" s="99" t="s">
        <v>14</v>
      </c>
      <c r="G727" s="121">
        <v>150</v>
      </c>
      <c r="H727" s="122">
        <f t="shared" si="24"/>
        <v>350</v>
      </c>
      <c r="I727" s="450">
        <f>+(515+945)/4</f>
        <v>365</v>
      </c>
      <c r="J727" s="491">
        <f t="shared" si="25"/>
        <v>715</v>
      </c>
      <c r="K727" s="323"/>
      <c r="L727" s="324"/>
    </row>
    <row r="728" spans="1:12" ht="20.25" customHeight="1" thickBot="1" x14ac:dyDescent="0.25">
      <c r="A728" s="158">
        <v>724</v>
      </c>
      <c r="B728" s="159" t="s">
        <v>4133</v>
      </c>
      <c r="C728" s="160" t="s">
        <v>4134</v>
      </c>
      <c r="D728" s="161" t="s">
        <v>1609</v>
      </c>
      <c r="E728" s="162" t="s">
        <v>4126</v>
      </c>
      <c r="F728" s="163" t="s">
        <v>17</v>
      </c>
      <c r="G728" s="164">
        <v>100</v>
      </c>
      <c r="H728" s="153">
        <f t="shared" si="24"/>
        <v>400</v>
      </c>
      <c r="I728" s="451">
        <f>+(515+945)/4</f>
        <v>365</v>
      </c>
      <c r="J728" s="492">
        <f t="shared" si="25"/>
        <v>765</v>
      </c>
      <c r="K728" s="325"/>
      <c r="L728" s="326"/>
    </row>
    <row r="729" spans="1:12" ht="20.25" customHeight="1" x14ac:dyDescent="0.2">
      <c r="A729" s="108">
        <v>725</v>
      </c>
      <c r="B729" s="171" t="s">
        <v>4135</v>
      </c>
      <c r="C729" s="110" t="s">
        <v>4136</v>
      </c>
      <c r="D729" s="111" t="s">
        <v>4137</v>
      </c>
      <c r="E729" s="112" t="s">
        <v>4138</v>
      </c>
      <c r="F729" s="113" t="s">
        <v>8</v>
      </c>
      <c r="G729" s="119">
        <v>50</v>
      </c>
      <c r="H729" s="120">
        <f t="shared" si="24"/>
        <v>450</v>
      </c>
      <c r="I729" s="452">
        <f>+(390+575)/4</f>
        <v>241.25</v>
      </c>
      <c r="J729" s="490">
        <f t="shared" si="25"/>
        <v>691.25</v>
      </c>
      <c r="K729" s="327"/>
      <c r="L729" s="328"/>
    </row>
    <row r="730" spans="1:12" ht="20.25" customHeight="1" x14ac:dyDescent="0.2">
      <c r="A730" s="114">
        <v>726</v>
      </c>
      <c r="B730" s="1" t="s">
        <v>4139</v>
      </c>
      <c r="C730" s="6" t="s">
        <v>2641</v>
      </c>
      <c r="D730" s="7" t="s">
        <v>4140</v>
      </c>
      <c r="E730" s="2" t="s">
        <v>4138</v>
      </c>
      <c r="F730" s="99" t="s">
        <v>11</v>
      </c>
      <c r="G730" s="121">
        <v>50</v>
      </c>
      <c r="H730" s="122">
        <f t="shared" si="24"/>
        <v>450</v>
      </c>
      <c r="I730" s="450">
        <f>+(390+575)/4</f>
        <v>241.25</v>
      </c>
      <c r="J730" s="491">
        <f t="shared" si="25"/>
        <v>691.25</v>
      </c>
      <c r="K730" s="323"/>
      <c r="L730" s="324"/>
    </row>
    <row r="731" spans="1:12" ht="20.25" customHeight="1" x14ac:dyDescent="0.2">
      <c r="A731" s="114">
        <v>727</v>
      </c>
      <c r="B731" s="1" t="s">
        <v>4141</v>
      </c>
      <c r="C731" s="6" t="s">
        <v>4142</v>
      </c>
      <c r="D731" s="7" t="s">
        <v>4143</v>
      </c>
      <c r="E731" s="2" t="s">
        <v>4138</v>
      </c>
      <c r="F731" s="99" t="s">
        <v>14</v>
      </c>
      <c r="G731" s="121">
        <v>50</v>
      </c>
      <c r="H731" s="122">
        <f t="shared" si="24"/>
        <v>450</v>
      </c>
      <c r="I731" s="450">
        <f>+(390+575)/4</f>
        <v>241.25</v>
      </c>
      <c r="J731" s="491">
        <f t="shared" si="25"/>
        <v>691.25</v>
      </c>
      <c r="K731" s="323"/>
      <c r="L731" s="324"/>
    </row>
    <row r="732" spans="1:12" ht="20.25" customHeight="1" thickBot="1" x14ac:dyDescent="0.25">
      <c r="A732" s="158">
        <v>728</v>
      </c>
      <c r="B732" s="159" t="s">
        <v>4144</v>
      </c>
      <c r="C732" s="160" t="s">
        <v>2506</v>
      </c>
      <c r="D732" s="161" t="s">
        <v>4145</v>
      </c>
      <c r="E732" s="162" t="s">
        <v>4138</v>
      </c>
      <c r="F732" s="163" t="s">
        <v>17</v>
      </c>
      <c r="G732" s="164">
        <v>50</v>
      </c>
      <c r="H732" s="153">
        <f t="shared" si="24"/>
        <v>450</v>
      </c>
      <c r="I732" s="451">
        <f>+(390+575)/4</f>
        <v>241.25</v>
      </c>
      <c r="J732" s="492">
        <f t="shared" si="25"/>
        <v>691.25</v>
      </c>
      <c r="K732" s="325"/>
      <c r="L732" s="326"/>
    </row>
    <row r="733" spans="1:12" s="37" customFormat="1" ht="20.25" customHeight="1" x14ac:dyDescent="0.2">
      <c r="A733" s="165">
        <v>729</v>
      </c>
      <c r="B733" s="229" t="s">
        <v>4928</v>
      </c>
      <c r="C733" s="230" t="s">
        <v>2309</v>
      </c>
      <c r="D733" s="231" t="s">
        <v>4927</v>
      </c>
      <c r="E733" s="232" t="s">
        <v>4149</v>
      </c>
      <c r="F733" s="233" t="s">
        <v>8</v>
      </c>
      <c r="G733" s="234">
        <v>50</v>
      </c>
      <c r="H733" s="246">
        <f t="shared" si="24"/>
        <v>450</v>
      </c>
      <c r="I733" s="293">
        <f>+(595+720)/4</f>
        <v>328.75</v>
      </c>
      <c r="J733" s="500">
        <f t="shared" si="25"/>
        <v>778.75</v>
      </c>
      <c r="K733" s="321" t="s">
        <v>4996</v>
      </c>
      <c r="L733" s="341">
        <v>6280</v>
      </c>
    </row>
    <row r="734" spans="1:12" ht="20.25" customHeight="1" x14ac:dyDescent="0.2">
      <c r="A734" s="114">
        <v>730</v>
      </c>
      <c r="B734" s="47" t="s">
        <v>4146</v>
      </c>
      <c r="C734" s="10" t="s">
        <v>4147</v>
      </c>
      <c r="D734" s="11" t="s">
        <v>4148</v>
      </c>
      <c r="E734" s="5" t="s">
        <v>4149</v>
      </c>
      <c r="F734" s="100" t="s">
        <v>11</v>
      </c>
      <c r="G734" s="125">
        <v>50</v>
      </c>
      <c r="H734" s="122">
        <f t="shared" si="24"/>
        <v>450</v>
      </c>
      <c r="I734" s="450">
        <f>+(595+720)/4</f>
        <v>328.75</v>
      </c>
      <c r="J734" s="491">
        <f t="shared" si="25"/>
        <v>778.75</v>
      </c>
      <c r="K734" s="323"/>
      <c r="L734" s="324"/>
    </row>
    <row r="735" spans="1:12" ht="20.25" customHeight="1" x14ac:dyDescent="0.2">
      <c r="A735" s="114">
        <v>731</v>
      </c>
      <c r="B735" s="47" t="s">
        <v>4150</v>
      </c>
      <c r="C735" s="10" t="s">
        <v>3302</v>
      </c>
      <c r="D735" s="11" t="s">
        <v>4151</v>
      </c>
      <c r="E735" s="5" t="s">
        <v>4149</v>
      </c>
      <c r="F735" s="100" t="s">
        <v>14</v>
      </c>
      <c r="G735" s="125">
        <v>50</v>
      </c>
      <c r="H735" s="122">
        <f t="shared" si="24"/>
        <v>450</v>
      </c>
      <c r="I735" s="450">
        <f>+(595+720)/4</f>
        <v>328.75</v>
      </c>
      <c r="J735" s="491">
        <f t="shared" si="25"/>
        <v>778.75</v>
      </c>
      <c r="K735" s="323"/>
      <c r="L735" s="324"/>
    </row>
    <row r="736" spans="1:12" ht="20.25" customHeight="1" thickBot="1" x14ac:dyDescent="0.25">
      <c r="A736" s="158">
        <v>732</v>
      </c>
      <c r="B736" s="192" t="s">
        <v>4152</v>
      </c>
      <c r="C736" s="193" t="s">
        <v>2670</v>
      </c>
      <c r="D736" s="194" t="s">
        <v>4153</v>
      </c>
      <c r="E736" s="195" t="s">
        <v>4149</v>
      </c>
      <c r="F736" s="196" t="s">
        <v>17</v>
      </c>
      <c r="G736" s="197">
        <v>50</v>
      </c>
      <c r="H736" s="153">
        <f t="shared" si="24"/>
        <v>450</v>
      </c>
      <c r="I736" s="451">
        <f>+(595+720)/4</f>
        <v>328.75</v>
      </c>
      <c r="J736" s="492">
        <f t="shared" si="25"/>
        <v>778.75</v>
      </c>
      <c r="K736" s="325"/>
      <c r="L736" s="326"/>
    </row>
    <row r="737" spans="1:12" ht="20.25" customHeight="1" x14ac:dyDescent="0.2">
      <c r="A737" s="108">
        <v>733</v>
      </c>
      <c r="B737" s="171" t="s">
        <v>4154</v>
      </c>
      <c r="C737" s="110" t="s">
        <v>4155</v>
      </c>
      <c r="D737" s="111" t="s">
        <v>4156</v>
      </c>
      <c r="E737" s="112" t="s">
        <v>4157</v>
      </c>
      <c r="F737" s="113" t="s">
        <v>8</v>
      </c>
      <c r="G737" s="119">
        <v>100</v>
      </c>
      <c r="H737" s="120">
        <f t="shared" si="24"/>
        <v>400</v>
      </c>
      <c r="I737" s="452">
        <f>+(1160+1110)/4</f>
        <v>567.5</v>
      </c>
      <c r="J737" s="490">
        <f t="shared" si="25"/>
        <v>967.5</v>
      </c>
      <c r="K737" s="327"/>
      <c r="L737" s="328"/>
    </row>
    <row r="738" spans="1:12" ht="20.25" customHeight="1" x14ac:dyDescent="0.2">
      <c r="A738" s="114">
        <v>734</v>
      </c>
      <c r="B738" s="1" t="s">
        <v>4158</v>
      </c>
      <c r="C738" s="6" t="s">
        <v>2737</v>
      </c>
      <c r="D738" s="7" t="s">
        <v>4159</v>
      </c>
      <c r="E738" s="2" t="s">
        <v>4157</v>
      </c>
      <c r="F738" s="99" t="s">
        <v>11</v>
      </c>
      <c r="G738" s="121">
        <v>50</v>
      </c>
      <c r="H738" s="122">
        <f t="shared" si="24"/>
        <v>450</v>
      </c>
      <c r="I738" s="450">
        <f>+(1160+1110)/4</f>
        <v>567.5</v>
      </c>
      <c r="J738" s="491">
        <f t="shared" si="25"/>
        <v>1017.5</v>
      </c>
      <c r="K738" s="323"/>
      <c r="L738" s="324"/>
    </row>
    <row r="739" spans="1:12" ht="20.25" customHeight="1" x14ac:dyDescent="0.2">
      <c r="A739" s="114">
        <v>735</v>
      </c>
      <c r="B739" s="1" t="s">
        <v>4160</v>
      </c>
      <c r="C739" s="6" t="s">
        <v>4161</v>
      </c>
      <c r="D739" s="7" t="s">
        <v>4162</v>
      </c>
      <c r="E739" s="2" t="s">
        <v>4157</v>
      </c>
      <c r="F739" s="99" t="s">
        <v>14</v>
      </c>
      <c r="G739" s="121">
        <v>100</v>
      </c>
      <c r="H739" s="122">
        <f t="shared" si="24"/>
        <v>400</v>
      </c>
      <c r="I739" s="450">
        <f>+(1160+1110)/4</f>
        <v>567.5</v>
      </c>
      <c r="J739" s="491">
        <f t="shared" si="25"/>
        <v>967.5</v>
      </c>
      <c r="K739" s="323"/>
      <c r="L739" s="324"/>
    </row>
    <row r="740" spans="1:12" ht="20.25" customHeight="1" thickBot="1" x14ac:dyDescent="0.25">
      <c r="A740" s="158">
        <v>736</v>
      </c>
      <c r="B740" s="159" t="s">
        <v>4163</v>
      </c>
      <c r="C740" s="160" t="s">
        <v>4164</v>
      </c>
      <c r="D740" s="161" t="s">
        <v>4165</v>
      </c>
      <c r="E740" s="162" t="s">
        <v>4157</v>
      </c>
      <c r="F740" s="163" t="s">
        <v>17</v>
      </c>
      <c r="G740" s="164">
        <v>50</v>
      </c>
      <c r="H740" s="153">
        <f t="shared" si="24"/>
        <v>450</v>
      </c>
      <c r="I740" s="451">
        <f>+(1160+1110)/4</f>
        <v>567.5</v>
      </c>
      <c r="J740" s="492">
        <f t="shared" si="25"/>
        <v>1017.5</v>
      </c>
      <c r="K740" s="325"/>
      <c r="L740" s="326"/>
    </row>
    <row r="741" spans="1:12" ht="20.25" customHeight="1" x14ac:dyDescent="0.2">
      <c r="A741" s="108">
        <v>737</v>
      </c>
      <c r="B741" s="174" t="s">
        <v>4166</v>
      </c>
      <c r="C741" s="175" t="s">
        <v>3295</v>
      </c>
      <c r="D741" s="176" t="s">
        <v>4167</v>
      </c>
      <c r="E741" s="177" t="s">
        <v>4168</v>
      </c>
      <c r="F741" s="178" t="s">
        <v>8</v>
      </c>
      <c r="G741" s="179">
        <v>50</v>
      </c>
      <c r="H741" s="120">
        <f t="shared" si="24"/>
        <v>450</v>
      </c>
      <c r="I741" s="452">
        <f>+(940+1450)/4</f>
        <v>597.5</v>
      </c>
      <c r="J741" s="490">
        <f t="shared" si="25"/>
        <v>1047.5</v>
      </c>
      <c r="K741" s="327"/>
      <c r="L741" s="328"/>
    </row>
    <row r="742" spans="1:12" ht="20.25" customHeight="1" x14ac:dyDescent="0.2">
      <c r="A742" s="114">
        <v>738</v>
      </c>
      <c r="B742" s="47" t="s">
        <v>4169</v>
      </c>
      <c r="C742" s="10" t="s">
        <v>4170</v>
      </c>
      <c r="D742" s="11" t="s">
        <v>4171</v>
      </c>
      <c r="E742" s="5" t="s">
        <v>4168</v>
      </c>
      <c r="F742" s="100" t="s">
        <v>11</v>
      </c>
      <c r="G742" s="125">
        <v>50</v>
      </c>
      <c r="H742" s="122">
        <f t="shared" si="24"/>
        <v>450</v>
      </c>
      <c r="I742" s="450">
        <f>+(940+1450)/4</f>
        <v>597.5</v>
      </c>
      <c r="J742" s="491">
        <f t="shared" si="25"/>
        <v>1047.5</v>
      </c>
      <c r="K742" s="323"/>
      <c r="L742" s="324"/>
    </row>
    <row r="743" spans="1:12" ht="20.25" customHeight="1" x14ac:dyDescent="0.2">
      <c r="A743" s="114">
        <v>739</v>
      </c>
      <c r="B743" s="47" t="s">
        <v>4172</v>
      </c>
      <c r="C743" s="10" t="s">
        <v>3179</v>
      </c>
      <c r="D743" s="11" t="s">
        <v>330</v>
      </c>
      <c r="E743" s="5" t="s">
        <v>4168</v>
      </c>
      <c r="F743" s="100" t="s">
        <v>14</v>
      </c>
      <c r="G743" s="125">
        <v>150</v>
      </c>
      <c r="H743" s="122">
        <f t="shared" si="24"/>
        <v>350</v>
      </c>
      <c r="I743" s="450">
        <f>+(940+1450)/4</f>
        <v>597.5</v>
      </c>
      <c r="J743" s="491">
        <f t="shared" si="25"/>
        <v>947.5</v>
      </c>
      <c r="K743" s="323"/>
      <c r="L743" s="324"/>
    </row>
    <row r="744" spans="1:12" ht="20.25" customHeight="1" thickBot="1" x14ac:dyDescent="0.25">
      <c r="A744" s="158">
        <v>740</v>
      </c>
      <c r="B744" s="192" t="s">
        <v>4994</v>
      </c>
      <c r="C744" s="193" t="s">
        <v>2468</v>
      </c>
      <c r="D744" s="194" t="s">
        <v>4929</v>
      </c>
      <c r="E744" s="195" t="s">
        <v>4168</v>
      </c>
      <c r="F744" s="196" t="s">
        <v>17</v>
      </c>
      <c r="G744" s="197">
        <v>150</v>
      </c>
      <c r="H744" s="153">
        <f t="shared" si="24"/>
        <v>350</v>
      </c>
      <c r="I744" s="451">
        <f>+(940+1450)/4</f>
        <v>597.5</v>
      </c>
      <c r="J744" s="492">
        <f t="shared" si="25"/>
        <v>947.5</v>
      </c>
      <c r="K744" s="325"/>
      <c r="L744" s="326"/>
    </row>
    <row r="745" spans="1:12" s="37" customFormat="1" ht="20.25" customHeight="1" x14ac:dyDescent="0.2">
      <c r="A745" s="165">
        <v>741</v>
      </c>
      <c r="B745" s="166" t="s">
        <v>4173</v>
      </c>
      <c r="C745" s="241" t="s">
        <v>4174</v>
      </c>
      <c r="D745" s="168" t="s">
        <v>4175</v>
      </c>
      <c r="E745" s="169" t="s">
        <v>4176</v>
      </c>
      <c r="F745" s="167" t="s">
        <v>8</v>
      </c>
      <c r="G745" s="170">
        <v>50</v>
      </c>
      <c r="H745" s="246">
        <f t="shared" si="24"/>
        <v>450</v>
      </c>
      <c r="I745" s="293">
        <f>+(1075+770)/4</f>
        <v>461.25</v>
      </c>
      <c r="J745" s="500">
        <f t="shared" si="25"/>
        <v>911.25</v>
      </c>
      <c r="K745" s="321" t="s">
        <v>4996</v>
      </c>
      <c r="L745" s="341">
        <f>5500+5500</f>
        <v>11000</v>
      </c>
    </row>
    <row r="746" spans="1:12" ht="20.25" customHeight="1" x14ac:dyDescent="0.2">
      <c r="A746" s="114">
        <v>742</v>
      </c>
      <c r="B746" s="1" t="s">
        <v>4177</v>
      </c>
      <c r="C746" s="6" t="s">
        <v>2670</v>
      </c>
      <c r="D746" s="7" t="s">
        <v>4178</v>
      </c>
      <c r="E746" s="2" t="s">
        <v>4176</v>
      </c>
      <c r="F746" s="99" t="s">
        <v>11</v>
      </c>
      <c r="G746" s="121">
        <v>150</v>
      </c>
      <c r="H746" s="122">
        <f t="shared" si="24"/>
        <v>350</v>
      </c>
      <c r="I746" s="450">
        <f>+(1075+770)/4</f>
        <v>461.25</v>
      </c>
      <c r="J746" s="491">
        <f t="shared" si="25"/>
        <v>811.25</v>
      </c>
      <c r="K746" s="323"/>
      <c r="L746" s="324"/>
    </row>
    <row r="747" spans="1:12" ht="20.25" customHeight="1" x14ac:dyDescent="0.2">
      <c r="A747" s="114">
        <v>743</v>
      </c>
      <c r="B747" s="1" t="s">
        <v>4179</v>
      </c>
      <c r="C747" s="6" t="s">
        <v>4180</v>
      </c>
      <c r="D747" s="7" t="s">
        <v>4181</v>
      </c>
      <c r="E747" s="2" t="s">
        <v>4176</v>
      </c>
      <c r="F747" s="99" t="s">
        <v>14</v>
      </c>
      <c r="G747" s="121">
        <v>50</v>
      </c>
      <c r="H747" s="122">
        <f t="shared" si="24"/>
        <v>450</v>
      </c>
      <c r="I747" s="450">
        <f>+(1075+770)/4</f>
        <v>461.25</v>
      </c>
      <c r="J747" s="491">
        <f t="shared" si="25"/>
        <v>911.25</v>
      </c>
      <c r="K747" s="323"/>
      <c r="L747" s="324"/>
    </row>
    <row r="748" spans="1:12" ht="20.25" customHeight="1" thickBot="1" x14ac:dyDescent="0.25">
      <c r="A748" s="158">
        <v>744</v>
      </c>
      <c r="B748" s="159" t="s">
        <v>4182</v>
      </c>
      <c r="C748" s="160" t="s">
        <v>4183</v>
      </c>
      <c r="D748" s="161" t="s">
        <v>1717</v>
      </c>
      <c r="E748" s="162" t="s">
        <v>4176</v>
      </c>
      <c r="F748" s="163" t="s">
        <v>17</v>
      </c>
      <c r="G748" s="164">
        <v>150</v>
      </c>
      <c r="H748" s="153">
        <f t="shared" si="24"/>
        <v>350</v>
      </c>
      <c r="I748" s="451">
        <f>+(1075+770)/4</f>
        <v>461.25</v>
      </c>
      <c r="J748" s="492">
        <f t="shared" si="25"/>
        <v>811.25</v>
      </c>
      <c r="K748" s="325"/>
      <c r="L748" s="326"/>
    </row>
    <row r="749" spans="1:12" ht="20.25" customHeight="1" x14ac:dyDescent="0.2">
      <c r="A749" s="108">
        <v>745</v>
      </c>
      <c r="B749" s="174" t="s">
        <v>4995</v>
      </c>
      <c r="C749" s="175" t="s">
        <v>4930</v>
      </c>
      <c r="D749" s="176" t="s">
        <v>4931</v>
      </c>
      <c r="E749" s="177" t="s">
        <v>4186</v>
      </c>
      <c r="F749" s="178" t="s">
        <v>8</v>
      </c>
      <c r="G749" s="179">
        <v>150</v>
      </c>
      <c r="H749" s="120">
        <f t="shared" si="24"/>
        <v>350</v>
      </c>
      <c r="I749" s="452">
        <f>+(0+0)/4</f>
        <v>0</v>
      </c>
      <c r="J749" s="490">
        <f t="shared" si="25"/>
        <v>350</v>
      </c>
      <c r="K749" s="327"/>
      <c r="L749" s="328"/>
    </row>
    <row r="750" spans="1:12" ht="20.25" customHeight="1" x14ac:dyDescent="0.2">
      <c r="A750" s="114">
        <v>746</v>
      </c>
      <c r="B750" s="47" t="s">
        <v>4184</v>
      </c>
      <c r="C750" s="10" t="s">
        <v>2519</v>
      </c>
      <c r="D750" s="11" t="s">
        <v>4185</v>
      </c>
      <c r="E750" s="5" t="s">
        <v>4186</v>
      </c>
      <c r="F750" s="100" t="s">
        <v>11</v>
      </c>
      <c r="G750" s="125">
        <v>50</v>
      </c>
      <c r="H750" s="122">
        <f t="shared" si="24"/>
        <v>450</v>
      </c>
      <c r="I750" s="450">
        <f>+(0+0)/4</f>
        <v>0</v>
      </c>
      <c r="J750" s="491">
        <f t="shared" si="25"/>
        <v>450</v>
      </c>
      <c r="K750" s="323"/>
      <c r="L750" s="324"/>
    </row>
    <row r="751" spans="1:12" ht="20.25" customHeight="1" x14ac:dyDescent="0.2">
      <c r="A751" s="114">
        <v>747</v>
      </c>
      <c r="B751" s="47" t="s">
        <v>4187</v>
      </c>
      <c r="C751" s="10" t="s">
        <v>4188</v>
      </c>
      <c r="D751" s="11" t="s">
        <v>4189</v>
      </c>
      <c r="E751" s="5" t="s">
        <v>4186</v>
      </c>
      <c r="F751" s="100" t="s">
        <v>14</v>
      </c>
      <c r="G751" s="125">
        <v>100</v>
      </c>
      <c r="H751" s="122">
        <f t="shared" si="24"/>
        <v>400</v>
      </c>
      <c r="I751" s="450">
        <f>+(0+0)/4</f>
        <v>0</v>
      </c>
      <c r="J751" s="491">
        <f t="shared" si="25"/>
        <v>400</v>
      </c>
      <c r="K751" s="323"/>
      <c r="L751" s="324"/>
    </row>
    <row r="752" spans="1:12" ht="20.25" customHeight="1" thickBot="1" x14ac:dyDescent="0.25">
      <c r="A752" s="158">
        <v>748</v>
      </c>
      <c r="B752" s="192" t="s">
        <v>4190</v>
      </c>
      <c r="C752" s="193" t="s">
        <v>4191</v>
      </c>
      <c r="D752" s="194" t="s">
        <v>709</v>
      </c>
      <c r="E752" s="195" t="s">
        <v>4186</v>
      </c>
      <c r="F752" s="196" t="s">
        <v>17</v>
      </c>
      <c r="G752" s="197">
        <v>50</v>
      </c>
      <c r="H752" s="153">
        <f t="shared" si="24"/>
        <v>450</v>
      </c>
      <c r="I752" s="451">
        <f>+(0+0)/4</f>
        <v>0</v>
      </c>
      <c r="J752" s="492">
        <f t="shared" si="25"/>
        <v>450</v>
      </c>
      <c r="K752" s="325"/>
      <c r="L752" s="326"/>
    </row>
    <row r="753" spans="1:12" ht="20.25" customHeight="1" x14ac:dyDescent="0.2">
      <c r="A753" s="108">
        <v>749</v>
      </c>
      <c r="B753" s="171" t="s">
        <v>4192</v>
      </c>
      <c r="C753" s="110" t="s">
        <v>2862</v>
      </c>
      <c r="D753" s="111" t="s">
        <v>4193</v>
      </c>
      <c r="E753" s="112" t="s">
        <v>4194</v>
      </c>
      <c r="F753" s="113" t="s">
        <v>8</v>
      </c>
      <c r="G753" s="119">
        <v>50</v>
      </c>
      <c r="H753" s="120">
        <f t="shared" si="24"/>
        <v>450</v>
      </c>
      <c r="I753" s="452">
        <f>+(540+1245)/4</f>
        <v>446.25</v>
      </c>
      <c r="J753" s="490">
        <f t="shared" si="25"/>
        <v>896.25</v>
      </c>
      <c r="K753" s="327"/>
      <c r="L753" s="328"/>
    </row>
    <row r="754" spans="1:12" ht="20.25" customHeight="1" x14ac:dyDescent="0.2">
      <c r="A754" s="114">
        <v>750</v>
      </c>
      <c r="B754" s="1" t="s">
        <v>4195</v>
      </c>
      <c r="C754" s="6" t="s">
        <v>4196</v>
      </c>
      <c r="D754" s="7" t="s">
        <v>4197</v>
      </c>
      <c r="E754" s="2" t="s">
        <v>4194</v>
      </c>
      <c r="F754" s="99" t="s">
        <v>11</v>
      </c>
      <c r="G754" s="121">
        <v>150</v>
      </c>
      <c r="H754" s="122">
        <f t="shared" si="24"/>
        <v>350</v>
      </c>
      <c r="I754" s="450">
        <f>+(540+1245)/4</f>
        <v>446.25</v>
      </c>
      <c r="J754" s="491">
        <f t="shared" si="25"/>
        <v>796.25</v>
      </c>
      <c r="K754" s="323"/>
      <c r="L754" s="324"/>
    </row>
    <row r="755" spans="1:12" ht="20.25" customHeight="1" x14ac:dyDescent="0.2">
      <c r="A755" s="114">
        <v>751</v>
      </c>
      <c r="B755" s="1" t="s">
        <v>4198</v>
      </c>
      <c r="C755" s="6" t="s">
        <v>4199</v>
      </c>
      <c r="D755" s="7" t="s">
        <v>4200</v>
      </c>
      <c r="E755" s="2" t="s">
        <v>4194</v>
      </c>
      <c r="F755" s="99" t="s">
        <v>14</v>
      </c>
      <c r="G755" s="121">
        <v>150</v>
      </c>
      <c r="H755" s="122">
        <f t="shared" si="24"/>
        <v>350</v>
      </c>
      <c r="I755" s="450">
        <f>+(540+1245)/4</f>
        <v>446.25</v>
      </c>
      <c r="J755" s="491">
        <f t="shared" si="25"/>
        <v>796.25</v>
      </c>
      <c r="K755" s="323"/>
      <c r="L755" s="324"/>
    </row>
    <row r="756" spans="1:12" ht="20.25" customHeight="1" thickBot="1" x14ac:dyDescent="0.25">
      <c r="A756" s="158">
        <v>752</v>
      </c>
      <c r="B756" s="159" t="s">
        <v>4201</v>
      </c>
      <c r="C756" s="160" t="s">
        <v>4202</v>
      </c>
      <c r="D756" s="161" t="s">
        <v>4203</v>
      </c>
      <c r="E756" s="162" t="s">
        <v>4194</v>
      </c>
      <c r="F756" s="163" t="s">
        <v>17</v>
      </c>
      <c r="G756" s="164">
        <v>150</v>
      </c>
      <c r="H756" s="153">
        <f t="shared" si="24"/>
        <v>350</v>
      </c>
      <c r="I756" s="451">
        <f>+(540+1245)/4</f>
        <v>446.25</v>
      </c>
      <c r="J756" s="492">
        <f t="shared" si="25"/>
        <v>796.25</v>
      </c>
      <c r="K756" s="325"/>
      <c r="L756" s="326"/>
    </row>
    <row r="757" spans="1:12" ht="20.25" customHeight="1" x14ac:dyDescent="0.2">
      <c r="A757" s="108">
        <v>753</v>
      </c>
      <c r="B757" s="171" t="s">
        <v>4204</v>
      </c>
      <c r="C757" s="110" t="s">
        <v>4205</v>
      </c>
      <c r="D757" s="111" t="s">
        <v>4206</v>
      </c>
      <c r="E757" s="112" t="s">
        <v>4207</v>
      </c>
      <c r="F757" s="113" t="s">
        <v>8</v>
      </c>
      <c r="G757" s="119">
        <v>100</v>
      </c>
      <c r="H757" s="120">
        <f t="shared" si="24"/>
        <v>400</v>
      </c>
      <c r="I757" s="452">
        <f>+(990+1080)/4</f>
        <v>517.5</v>
      </c>
      <c r="J757" s="490">
        <f t="shared" si="25"/>
        <v>917.5</v>
      </c>
      <c r="K757" s="327"/>
      <c r="L757" s="328"/>
    </row>
    <row r="758" spans="1:12" ht="20.25" customHeight="1" x14ac:dyDescent="0.2">
      <c r="A758" s="114">
        <v>754</v>
      </c>
      <c r="B758" s="1" t="s">
        <v>4208</v>
      </c>
      <c r="C758" s="6" t="s">
        <v>4209</v>
      </c>
      <c r="D758" s="7" t="s">
        <v>4210</v>
      </c>
      <c r="E758" s="2" t="s">
        <v>4207</v>
      </c>
      <c r="F758" s="99" t="s">
        <v>11</v>
      </c>
      <c r="G758" s="121">
        <v>50</v>
      </c>
      <c r="H758" s="122">
        <f t="shared" si="24"/>
        <v>450</v>
      </c>
      <c r="I758" s="450">
        <f>+(990+1080)/4</f>
        <v>517.5</v>
      </c>
      <c r="J758" s="491">
        <f t="shared" si="25"/>
        <v>967.5</v>
      </c>
      <c r="K758" s="323"/>
      <c r="L758" s="324"/>
    </row>
    <row r="759" spans="1:12" ht="20.25" customHeight="1" x14ac:dyDescent="0.2">
      <c r="A759" s="114">
        <v>755</v>
      </c>
      <c r="B759" s="1" t="s">
        <v>4211</v>
      </c>
      <c r="C759" s="6" t="s">
        <v>4212</v>
      </c>
      <c r="D759" s="7" t="s">
        <v>4213</v>
      </c>
      <c r="E759" s="2" t="s">
        <v>4207</v>
      </c>
      <c r="F759" s="99" t="s">
        <v>14</v>
      </c>
      <c r="G759" s="121">
        <v>150</v>
      </c>
      <c r="H759" s="122">
        <f t="shared" si="24"/>
        <v>350</v>
      </c>
      <c r="I759" s="450">
        <f>+(990+1080)/4</f>
        <v>517.5</v>
      </c>
      <c r="J759" s="491">
        <f t="shared" si="25"/>
        <v>867.5</v>
      </c>
      <c r="K759" s="323"/>
      <c r="L759" s="324"/>
    </row>
    <row r="760" spans="1:12" ht="20.25" customHeight="1" thickBot="1" x14ac:dyDescent="0.25">
      <c r="A760" s="158">
        <v>756</v>
      </c>
      <c r="B760" s="159" t="s">
        <v>4214</v>
      </c>
      <c r="C760" s="160" t="s">
        <v>4215</v>
      </c>
      <c r="D760" s="161" t="s">
        <v>4216</v>
      </c>
      <c r="E760" s="162" t="s">
        <v>4207</v>
      </c>
      <c r="F760" s="163" t="s">
        <v>17</v>
      </c>
      <c r="G760" s="164">
        <v>50</v>
      </c>
      <c r="H760" s="153">
        <f t="shared" si="24"/>
        <v>450</v>
      </c>
      <c r="I760" s="451">
        <f>+(990+1080)/4</f>
        <v>517.5</v>
      </c>
      <c r="J760" s="492">
        <f t="shared" si="25"/>
        <v>967.5</v>
      </c>
      <c r="K760" s="325"/>
      <c r="L760" s="326"/>
    </row>
    <row r="761" spans="1:12" ht="20.25" customHeight="1" x14ac:dyDescent="0.2">
      <c r="A761" s="108">
        <v>757</v>
      </c>
      <c r="B761" s="171" t="s">
        <v>4217</v>
      </c>
      <c r="C761" s="110" t="s">
        <v>4218</v>
      </c>
      <c r="D761" s="111" t="s">
        <v>4219</v>
      </c>
      <c r="E761" s="112" t="s">
        <v>4220</v>
      </c>
      <c r="F761" s="113" t="s">
        <v>8</v>
      </c>
      <c r="G761" s="119">
        <v>100</v>
      </c>
      <c r="H761" s="120">
        <f t="shared" si="24"/>
        <v>400</v>
      </c>
      <c r="I761" s="452">
        <f>+(265+25)/4</f>
        <v>72.5</v>
      </c>
      <c r="J761" s="490">
        <f t="shared" si="25"/>
        <v>472.5</v>
      </c>
      <c r="K761" s="327"/>
      <c r="L761" s="328"/>
    </row>
    <row r="762" spans="1:12" ht="20.25" customHeight="1" x14ac:dyDescent="0.2">
      <c r="A762" s="114">
        <v>758</v>
      </c>
      <c r="B762" s="1" t="s">
        <v>4221</v>
      </c>
      <c r="C762" s="6" t="s">
        <v>4222</v>
      </c>
      <c r="D762" s="7" t="s">
        <v>4223</v>
      </c>
      <c r="E762" s="2" t="s">
        <v>4220</v>
      </c>
      <c r="F762" s="99" t="s">
        <v>11</v>
      </c>
      <c r="G762" s="121">
        <v>100</v>
      </c>
      <c r="H762" s="122">
        <f t="shared" si="24"/>
        <v>400</v>
      </c>
      <c r="I762" s="450">
        <f>+(265+25)/4</f>
        <v>72.5</v>
      </c>
      <c r="J762" s="491">
        <f t="shared" si="25"/>
        <v>472.5</v>
      </c>
      <c r="K762" s="323"/>
      <c r="L762" s="324"/>
    </row>
    <row r="763" spans="1:12" ht="20.25" customHeight="1" x14ac:dyDescent="0.2">
      <c r="A763" s="114">
        <v>759</v>
      </c>
      <c r="B763" s="1" t="s">
        <v>4224</v>
      </c>
      <c r="C763" s="6" t="s">
        <v>4225</v>
      </c>
      <c r="D763" s="7" t="s">
        <v>645</v>
      </c>
      <c r="E763" s="2" t="s">
        <v>4220</v>
      </c>
      <c r="F763" s="99" t="s">
        <v>14</v>
      </c>
      <c r="G763" s="121">
        <v>100</v>
      </c>
      <c r="H763" s="122">
        <f t="shared" si="24"/>
        <v>400</v>
      </c>
      <c r="I763" s="450">
        <f>+(265+25)/4</f>
        <v>72.5</v>
      </c>
      <c r="J763" s="491">
        <f t="shared" si="25"/>
        <v>472.5</v>
      </c>
      <c r="K763" s="323"/>
      <c r="L763" s="324"/>
    </row>
    <row r="764" spans="1:12" ht="20.25" customHeight="1" thickBot="1" x14ac:dyDescent="0.25">
      <c r="A764" s="158">
        <v>760</v>
      </c>
      <c r="B764" s="159" t="s">
        <v>4226</v>
      </c>
      <c r="C764" s="160" t="s">
        <v>2826</v>
      </c>
      <c r="D764" s="161" t="s">
        <v>4227</v>
      </c>
      <c r="E764" s="162" t="s">
        <v>4220</v>
      </c>
      <c r="F764" s="163" t="s">
        <v>17</v>
      </c>
      <c r="G764" s="164">
        <v>200</v>
      </c>
      <c r="H764" s="153">
        <f t="shared" si="24"/>
        <v>300</v>
      </c>
      <c r="I764" s="451">
        <f>+(265+25)/4</f>
        <v>72.5</v>
      </c>
      <c r="J764" s="492">
        <f t="shared" si="25"/>
        <v>372.5</v>
      </c>
      <c r="K764" s="325"/>
      <c r="L764" s="326"/>
    </row>
    <row r="765" spans="1:12" ht="20.25" customHeight="1" x14ac:dyDescent="0.2">
      <c r="A765" s="108">
        <v>761</v>
      </c>
      <c r="B765" s="171" t="s">
        <v>4228</v>
      </c>
      <c r="C765" s="110" t="s">
        <v>2461</v>
      </c>
      <c r="D765" s="111" t="s">
        <v>4229</v>
      </c>
      <c r="E765" s="112" t="s">
        <v>4230</v>
      </c>
      <c r="F765" s="113" t="s">
        <v>8</v>
      </c>
      <c r="G765" s="119">
        <v>100</v>
      </c>
      <c r="H765" s="120">
        <f t="shared" si="24"/>
        <v>400</v>
      </c>
      <c r="I765" s="452">
        <f>+(695+1255)/4</f>
        <v>487.5</v>
      </c>
      <c r="J765" s="490">
        <f t="shared" si="25"/>
        <v>887.5</v>
      </c>
      <c r="K765" s="327"/>
      <c r="L765" s="328"/>
    </row>
    <row r="766" spans="1:12" ht="20.25" customHeight="1" x14ac:dyDescent="0.2">
      <c r="A766" s="114">
        <v>762</v>
      </c>
      <c r="B766" s="1" t="s">
        <v>4231</v>
      </c>
      <c r="C766" s="6" t="s">
        <v>4232</v>
      </c>
      <c r="D766" s="7" t="s">
        <v>4233</v>
      </c>
      <c r="E766" s="2" t="s">
        <v>4230</v>
      </c>
      <c r="F766" s="99" t="s">
        <v>11</v>
      </c>
      <c r="G766" s="121">
        <v>150</v>
      </c>
      <c r="H766" s="122">
        <f t="shared" si="24"/>
        <v>350</v>
      </c>
      <c r="I766" s="450">
        <f>+(695+1255)/4</f>
        <v>487.5</v>
      </c>
      <c r="J766" s="491">
        <f t="shared" si="25"/>
        <v>837.5</v>
      </c>
      <c r="K766" s="323"/>
      <c r="L766" s="324"/>
    </row>
    <row r="767" spans="1:12" ht="20.25" customHeight="1" x14ac:dyDescent="0.2">
      <c r="A767" s="114">
        <v>763</v>
      </c>
      <c r="B767" s="1" t="s">
        <v>4234</v>
      </c>
      <c r="C767" s="6" t="s">
        <v>4098</v>
      </c>
      <c r="D767" s="7" t="s">
        <v>4235</v>
      </c>
      <c r="E767" s="2" t="s">
        <v>4230</v>
      </c>
      <c r="F767" s="99" t="s">
        <v>14</v>
      </c>
      <c r="G767" s="121">
        <v>150</v>
      </c>
      <c r="H767" s="122">
        <f t="shared" si="24"/>
        <v>350</v>
      </c>
      <c r="I767" s="450">
        <f>+(695+1255)/4</f>
        <v>487.5</v>
      </c>
      <c r="J767" s="491">
        <f t="shared" si="25"/>
        <v>837.5</v>
      </c>
      <c r="K767" s="323"/>
      <c r="L767" s="324"/>
    </row>
    <row r="768" spans="1:12" ht="20.25" customHeight="1" thickBot="1" x14ac:dyDescent="0.25">
      <c r="A768" s="158">
        <v>764</v>
      </c>
      <c r="B768" s="159" t="s">
        <v>4236</v>
      </c>
      <c r="C768" s="160" t="s">
        <v>4237</v>
      </c>
      <c r="D768" s="161" t="s">
        <v>4238</v>
      </c>
      <c r="E768" s="162" t="s">
        <v>4230</v>
      </c>
      <c r="F768" s="163" t="s">
        <v>17</v>
      </c>
      <c r="G768" s="164">
        <v>150</v>
      </c>
      <c r="H768" s="153">
        <f t="shared" si="24"/>
        <v>350</v>
      </c>
      <c r="I768" s="451">
        <f>+(695+1255)/4</f>
        <v>487.5</v>
      </c>
      <c r="J768" s="492">
        <f t="shared" si="25"/>
        <v>837.5</v>
      </c>
      <c r="K768" s="325"/>
      <c r="L768" s="326"/>
    </row>
    <row r="769" spans="1:12" ht="20.25" customHeight="1" x14ac:dyDescent="0.2">
      <c r="A769" s="108">
        <v>765</v>
      </c>
      <c r="B769" s="171" t="s">
        <v>4239</v>
      </c>
      <c r="C769" s="110" t="s">
        <v>2826</v>
      </c>
      <c r="D769" s="111" t="s">
        <v>4240</v>
      </c>
      <c r="E769" s="112" t="s">
        <v>4241</v>
      </c>
      <c r="F769" s="113" t="s">
        <v>8</v>
      </c>
      <c r="G769" s="119">
        <v>150</v>
      </c>
      <c r="H769" s="120">
        <f t="shared" si="24"/>
        <v>350</v>
      </c>
      <c r="I769" s="452">
        <f>+(310+55)/4</f>
        <v>91.25</v>
      </c>
      <c r="J769" s="490">
        <f t="shared" si="25"/>
        <v>441.25</v>
      </c>
      <c r="K769" s="327"/>
      <c r="L769" s="328"/>
    </row>
    <row r="770" spans="1:12" ht="20.25" customHeight="1" x14ac:dyDescent="0.2">
      <c r="A770" s="114">
        <v>766</v>
      </c>
      <c r="B770" s="1" t="s">
        <v>4242</v>
      </c>
      <c r="C770" s="6" t="s">
        <v>4243</v>
      </c>
      <c r="D770" s="7" t="s">
        <v>4244</v>
      </c>
      <c r="E770" s="2" t="s">
        <v>4241</v>
      </c>
      <c r="F770" s="99" t="s">
        <v>11</v>
      </c>
      <c r="G770" s="121">
        <v>100</v>
      </c>
      <c r="H770" s="122">
        <f t="shared" si="24"/>
        <v>400</v>
      </c>
      <c r="I770" s="450">
        <f>+(310+55)/4</f>
        <v>91.25</v>
      </c>
      <c r="J770" s="491">
        <f t="shared" si="25"/>
        <v>491.25</v>
      </c>
      <c r="K770" s="323"/>
      <c r="L770" s="324"/>
    </row>
    <row r="771" spans="1:12" ht="20.25" customHeight="1" x14ac:dyDescent="0.2">
      <c r="A771" s="114">
        <v>767</v>
      </c>
      <c r="B771" s="1" t="s">
        <v>4245</v>
      </c>
      <c r="C771" s="6" t="s">
        <v>3170</v>
      </c>
      <c r="D771" s="7" t="s">
        <v>4246</v>
      </c>
      <c r="E771" s="2" t="s">
        <v>4241</v>
      </c>
      <c r="F771" s="99" t="s">
        <v>14</v>
      </c>
      <c r="G771" s="121">
        <v>200</v>
      </c>
      <c r="H771" s="122">
        <f t="shared" si="24"/>
        <v>300</v>
      </c>
      <c r="I771" s="450">
        <f>+(310+55)/4</f>
        <v>91.25</v>
      </c>
      <c r="J771" s="491">
        <f t="shared" si="25"/>
        <v>391.25</v>
      </c>
      <c r="K771" s="323"/>
      <c r="L771" s="324"/>
    </row>
    <row r="772" spans="1:12" ht="20.25" customHeight="1" thickBot="1" x14ac:dyDescent="0.25">
      <c r="A772" s="158">
        <v>768</v>
      </c>
      <c r="B772" s="159" t="s">
        <v>4247</v>
      </c>
      <c r="C772" s="160" t="s">
        <v>2481</v>
      </c>
      <c r="D772" s="161" t="s">
        <v>4248</v>
      </c>
      <c r="E772" s="162" t="s">
        <v>4241</v>
      </c>
      <c r="F772" s="163" t="s">
        <v>17</v>
      </c>
      <c r="G772" s="164">
        <v>350</v>
      </c>
      <c r="H772" s="153">
        <f t="shared" si="24"/>
        <v>150</v>
      </c>
      <c r="I772" s="451">
        <f>+(310+55)/4</f>
        <v>91.25</v>
      </c>
      <c r="J772" s="492">
        <f t="shared" si="25"/>
        <v>241.25</v>
      </c>
      <c r="K772" s="325"/>
      <c r="L772" s="326"/>
    </row>
    <row r="773" spans="1:12" ht="20.25" customHeight="1" x14ac:dyDescent="0.2">
      <c r="A773" s="108">
        <v>769</v>
      </c>
      <c r="B773" s="171" t="s">
        <v>4249</v>
      </c>
      <c r="C773" s="110" t="s">
        <v>2177</v>
      </c>
      <c r="D773" s="111" t="s">
        <v>4250</v>
      </c>
      <c r="E773" s="112" t="s">
        <v>4251</v>
      </c>
      <c r="F773" s="113" t="s">
        <v>8</v>
      </c>
      <c r="G773" s="119">
        <v>50</v>
      </c>
      <c r="H773" s="120">
        <f t="shared" si="24"/>
        <v>450</v>
      </c>
      <c r="I773" s="452">
        <f>+(940+1265)/4</f>
        <v>551.25</v>
      </c>
      <c r="J773" s="490">
        <f t="shared" si="25"/>
        <v>1001.25</v>
      </c>
      <c r="K773" s="327"/>
      <c r="L773" s="328"/>
    </row>
    <row r="774" spans="1:12" ht="20.25" customHeight="1" x14ac:dyDescent="0.2">
      <c r="A774" s="114">
        <v>770</v>
      </c>
      <c r="B774" s="1" t="s">
        <v>4252</v>
      </c>
      <c r="C774" s="6" t="s">
        <v>4253</v>
      </c>
      <c r="D774" s="7" t="s">
        <v>4254</v>
      </c>
      <c r="E774" s="2" t="s">
        <v>4251</v>
      </c>
      <c r="F774" s="99" t="s">
        <v>11</v>
      </c>
      <c r="G774" s="121">
        <v>50</v>
      </c>
      <c r="H774" s="122">
        <f t="shared" ref="H774:H836" si="26">500-G774</f>
        <v>450</v>
      </c>
      <c r="I774" s="450">
        <f>+(940+1265)/4</f>
        <v>551.25</v>
      </c>
      <c r="J774" s="491">
        <f t="shared" si="25"/>
        <v>1001.25</v>
      </c>
      <c r="K774" s="323"/>
      <c r="L774" s="324"/>
    </row>
    <row r="775" spans="1:12" ht="20.25" customHeight="1" x14ac:dyDescent="0.2">
      <c r="A775" s="114">
        <v>771</v>
      </c>
      <c r="B775" s="1" t="s">
        <v>4255</v>
      </c>
      <c r="C775" s="6" t="s">
        <v>4256</v>
      </c>
      <c r="D775" s="7" t="s">
        <v>4257</v>
      </c>
      <c r="E775" s="2" t="s">
        <v>4251</v>
      </c>
      <c r="F775" s="99" t="s">
        <v>14</v>
      </c>
      <c r="G775" s="121">
        <v>50</v>
      </c>
      <c r="H775" s="122">
        <f t="shared" si="26"/>
        <v>450</v>
      </c>
      <c r="I775" s="450">
        <f>+(940+1265)/4</f>
        <v>551.25</v>
      </c>
      <c r="J775" s="491">
        <f t="shared" si="25"/>
        <v>1001.25</v>
      </c>
      <c r="K775" s="323"/>
      <c r="L775" s="324"/>
    </row>
    <row r="776" spans="1:12" ht="20.25" customHeight="1" thickBot="1" x14ac:dyDescent="0.25">
      <c r="A776" s="158">
        <v>772</v>
      </c>
      <c r="B776" s="159" t="s">
        <v>4258</v>
      </c>
      <c r="C776" s="160" t="s">
        <v>4259</v>
      </c>
      <c r="D776" s="161" t="s">
        <v>4260</v>
      </c>
      <c r="E776" s="162" t="s">
        <v>4251</v>
      </c>
      <c r="F776" s="163" t="s">
        <v>17</v>
      </c>
      <c r="G776" s="164">
        <v>50</v>
      </c>
      <c r="H776" s="153">
        <f t="shared" si="26"/>
        <v>450</v>
      </c>
      <c r="I776" s="451">
        <f>+(940+1265)/4</f>
        <v>551.25</v>
      </c>
      <c r="J776" s="492">
        <f t="shared" si="25"/>
        <v>1001.25</v>
      </c>
      <c r="K776" s="325"/>
      <c r="L776" s="326"/>
    </row>
    <row r="777" spans="1:12" ht="20.25" customHeight="1" x14ac:dyDescent="0.2">
      <c r="A777" s="108">
        <v>773</v>
      </c>
      <c r="B777" s="174" t="s">
        <v>4261</v>
      </c>
      <c r="C777" s="175" t="s">
        <v>4262</v>
      </c>
      <c r="D777" s="176" t="s">
        <v>4263</v>
      </c>
      <c r="E777" s="177" t="s">
        <v>4264</v>
      </c>
      <c r="F777" s="178" t="s">
        <v>8</v>
      </c>
      <c r="G777" s="179">
        <v>50</v>
      </c>
      <c r="H777" s="120">
        <f t="shared" si="26"/>
        <v>450</v>
      </c>
      <c r="I777" s="452">
        <f>+(445+480)/4</f>
        <v>231.25</v>
      </c>
      <c r="J777" s="490">
        <f t="shared" si="25"/>
        <v>681.25</v>
      </c>
      <c r="K777" s="327"/>
      <c r="L777" s="328"/>
    </row>
    <row r="778" spans="1:12" ht="20.25" customHeight="1" x14ac:dyDescent="0.2">
      <c r="A778" s="114">
        <v>774</v>
      </c>
      <c r="B778" s="47" t="s">
        <v>4265</v>
      </c>
      <c r="C778" s="10" t="s">
        <v>2956</v>
      </c>
      <c r="D778" s="11" t="s">
        <v>4266</v>
      </c>
      <c r="E778" s="5" t="s">
        <v>4264</v>
      </c>
      <c r="F778" s="100" t="s">
        <v>11</v>
      </c>
      <c r="G778" s="125">
        <v>150</v>
      </c>
      <c r="H778" s="122">
        <f t="shared" si="26"/>
        <v>350</v>
      </c>
      <c r="I778" s="450">
        <f>+(445+480)/4</f>
        <v>231.25</v>
      </c>
      <c r="J778" s="491">
        <f t="shared" si="25"/>
        <v>581.25</v>
      </c>
      <c r="K778" s="323"/>
      <c r="L778" s="324"/>
    </row>
    <row r="779" spans="1:12" ht="20.25" customHeight="1" x14ac:dyDescent="0.2">
      <c r="A779" s="114">
        <v>775</v>
      </c>
      <c r="B779" s="47" t="s">
        <v>4267</v>
      </c>
      <c r="C779" s="10" t="s">
        <v>4268</v>
      </c>
      <c r="D779" s="11" t="s">
        <v>4269</v>
      </c>
      <c r="E779" s="5" t="s">
        <v>4264</v>
      </c>
      <c r="F779" s="100" t="s">
        <v>14</v>
      </c>
      <c r="G779" s="125">
        <v>50</v>
      </c>
      <c r="H779" s="122">
        <f t="shared" si="26"/>
        <v>450</v>
      </c>
      <c r="I779" s="450">
        <f>+(445+480)/4</f>
        <v>231.25</v>
      </c>
      <c r="J779" s="491">
        <f t="shared" si="25"/>
        <v>681.25</v>
      </c>
      <c r="K779" s="323"/>
      <c r="L779" s="324"/>
    </row>
    <row r="780" spans="1:12" ht="20.25" customHeight="1" thickBot="1" x14ac:dyDescent="0.25">
      <c r="A780" s="158">
        <v>776</v>
      </c>
      <c r="B780" s="159" t="s">
        <v>4373</v>
      </c>
      <c r="C780" s="160" t="s">
        <v>2361</v>
      </c>
      <c r="D780" s="161" t="s">
        <v>4374</v>
      </c>
      <c r="E780" s="162" t="s">
        <v>4367</v>
      </c>
      <c r="F780" s="163" t="s">
        <v>17</v>
      </c>
      <c r="G780" s="164">
        <v>50</v>
      </c>
      <c r="H780" s="153">
        <f>500-G780</f>
        <v>450</v>
      </c>
      <c r="I780" s="451">
        <f>+(445+480)/4</f>
        <v>231.25</v>
      </c>
      <c r="J780" s="492">
        <f t="shared" si="25"/>
        <v>681.25</v>
      </c>
      <c r="K780" s="325"/>
      <c r="L780" s="326"/>
    </row>
    <row r="781" spans="1:12" ht="20.25" customHeight="1" x14ac:dyDescent="0.2">
      <c r="A781" s="108">
        <v>777</v>
      </c>
      <c r="B781" s="174" t="s">
        <v>4933</v>
      </c>
      <c r="C781" s="175" t="s">
        <v>4906</v>
      </c>
      <c r="D781" s="176" t="s">
        <v>4932</v>
      </c>
      <c r="E781" s="177" t="s">
        <v>4272</v>
      </c>
      <c r="F781" s="178">
        <v>1</v>
      </c>
      <c r="G781" s="179">
        <v>150</v>
      </c>
      <c r="H781" s="120">
        <f t="shared" si="26"/>
        <v>350</v>
      </c>
      <c r="I781" s="452">
        <f>+(0+475)/3</f>
        <v>158.33333333333334</v>
      </c>
      <c r="J781" s="490">
        <f t="shared" si="25"/>
        <v>508.33333333333337</v>
      </c>
      <c r="K781" s="327"/>
      <c r="L781" s="328"/>
    </row>
    <row r="782" spans="1:12" ht="20.25" customHeight="1" x14ac:dyDescent="0.2">
      <c r="A782" s="114">
        <v>778</v>
      </c>
      <c r="B782" s="47" t="s">
        <v>4270</v>
      </c>
      <c r="C782" s="10" t="s">
        <v>3170</v>
      </c>
      <c r="D782" s="11" t="s">
        <v>4271</v>
      </c>
      <c r="E782" s="5" t="s">
        <v>4272</v>
      </c>
      <c r="F782" s="100" t="s">
        <v>11</v>
      </c>
      <c r="G782" s="125">
        <v>150</v>
      </c>
      <c r="H782" s="122">
        <f t="shared" si="26"/>
        <v>350</v>
      </c>
      <c r="I782" s="450">
        <f>+(0+475)/3</f>
        <v>158.33333333333334</v>
      </c>
      <c r="J782" s="491">
        <f t="shared" si="25"/>
        <v>508.33333333333337</v>
      </c>
      <c r="K782" s="323"/>
      <c r="L782" s="324"/>
    </row>
    <row r="783" spans="1:12" ht="20.25" customHeight="1" x14ac:dyDescent="0.2">
      <c r="A783" s="114">
        <v>779</v>
      </c>
      <c r="B783" s="84"/>
      <c r="C783" s="85" t="s">
        <v>4876</v>
      </c>
      <c r="D783" s="86"/>
      <c r="E783" s="83" t="s">
        <v>4272</v>
      </c>
      <c r="F783" s="85">
        <v>3</v>
      </c>
      <c r="G783" s="156"/>
      <c r="H783" s="155"/>
      <c r="I783" s="292"/>
      <c r="J783" s="491">
        <f t="shared" si="25"/>
        <v>0</v>
      </c>
      <c r="K783" s="338" t="s">
        <v>4876</v>
      </c>
      <c r="L783" s="324"/>
    </row>
    <row r="784" spans="1:12" ht="20.25" customHeight="1" thickBot="1" x14ac:dyDescent="0.25">
      <c r="A784" s="158">
        <v>780</v>
      </c>
      <c r="B784" s="192" t="s">
        <v>4273</v>
      </c>
      <c r="C784" s="193" t="s">
        <v>4274</v>
      </c>
      <c r="D784" s="194" t="s">
        <v>4275</v>
      </c>
      <c r="E784" s="195" t="s">
        <v>4272</v>
      </c>
      <c r="F784" s="196" t="s">
        <v>17</v>
      </c>
      <c r="G784" s="197">
        <v>150</v>
      </c>
      <c r="H784" s="153">
        <f t="shared" si="26"/>
        <v>350</v>
      </c>
      <c r="I784" s="451">
        <f>+(0+475)/3</f>
        <v>158.33333333333334</v>
      </c>
      <c r="J784" s="492">
        <f t="shared" si="25"/>
        <v>508.33333333333337</v>
      </c>
      <c r="K784" s="325"/>
      <c r="L784" s="326"/>
    </row>
    <row r="785" spans="1:12" ht="20.25" customHeight="1" x14ac:dyDescent="0.2">
      <c r="A785" s="108">
        <v>781</v>
      </c>
      <c r="B785" s="174" t="s">
        <v>4276</v>
      </c>
      <c r="C785" s="175" t="s">
        <v>4277</v>
      </c>
      <c r="D785" s="176" t="s">
        <v>4278</v>
      </c>
      <c r="E785" s="177" t="s">
        <v>4279</v>
      </c>
      <c r="F785" s="178" t="s">
        <v>8</v>
      </c>
      <c r="G785" s="179">
        <v>150</v>
      </c>
      <c r="H785" s="120">
        <f t="shared" si="26"/>
        <v>350</v>
      </c>
      <c r="I785" s="452">
        <f>+(310+1240)/4</f>
        <v>387.5</v>
      </c>
      <c r="J785" s="490">
        <f t="shared" ref="J785:J848" si="27">SUM(H785:I785)</f>
        <v>737.5</v>
      </c>
      <c r="K785" s="327"/>
      <c r="L785" s="328"/>
    </row>
    <row r="786" spans="1:12" ht="20.25" customHeight="1" x14ac:dyDescent="0.2">
      <c r="A786" s="114">
        <v>782</v>
      </c>
      <c r="B786" s="47" t="s">
        <v>4280</v>
      </c>
      <c r="C786" s="10" t="s">
        <v>4281</v>
      </c>
      <c r="D786" s="11" t="s">
        <v>4282</v>
      </c>
      <c r="E786" s="5" t="s">
        <v>4279</v>
      </c>
      <c r="F786" s="100" t="s">
        <v>11</v>
      </c>
      <c r="G786" s="125">
        <v>150</v>
      </c>
      <c r="H786" s="122">
        <f t="shared" si="26"/>
        <v>350</v>
      </c>
      <c r="I786" s="450">
        <f>+(310+1240)/4</f>
        <v>387.5</v>
      </c>
      <c r="J786" s="491">
        <f t="shared" si="27"/>
        <v>737.5</v>
      </c>
      <c r="K786" s="323"/>
      <c r="L786" s="324"/>
    </row>
    <row r="787" spans="1:12" ht="20.25" customHeight="1" x14ac:dyDescent="0.2">
      <c r="A787" s="114">
        <v>783</v>
      </c>
      <c r="B787" s="47" t="s">
        <v>4936</v>
      </c>
      <c r="C787" s="10" t="s">
        <v>4934</v>
      </c>
      <c r="D787" s="11" t="s">
        <v>4935</v>
      </c>
      <c r="E787" s="5" t="s">
        <v>4279</v>
      </c>
      <c r="F787" s="100" t="s">
        <v>14</v>
      </c>
      <c r="G787" s="125">
        <v>150</v>
      </c>
      <c r="H787" s="122">
        <f t="shared" si="26"/>
        <v>350</v>
      </c>
      <c r="I787" s="450">
        <f>+(310+1240)/4</f>
        <v>387.5</v>
      </c>
      <c r="J787" s="491">
        <f t="shared" si="27"/>
        <v>737.5</v>
      </c>
      <c r="K787" s="323"/>
      <c r="L787" s="324"/>
    </row>
    <row r="788" spans="1:12" ht="20.25" customHeight="1" thickBot="1" x14ac:dyDescent="0.25">
      <c r="A788" s="158">
        <v>784</v>
      </c>
      <c r="B788" s="192" t="s">
        <v>4283</v>
      </c>
      <c r="C788" s="193" t="s">
        <v>4284</v>
      </c>
      <c r="D788" s="194" t="s">
        <v>4285</v>
      </c>
      <c r="E788" s="195" t="s">
        <v>4279</v>
      </c>
      <c r="F788" s="196" t="s">
        <v>17</v>
      </c>
      <c r="G788" s="197">
        <v>200</v>
      </c>
      <c r="H788" s="153">
        <f t="shared" si="26"/>
        <v>300</v>
      </c>
      <c r="I788" s="451">
        <f>+(310+1240)/4</f>
        <v>387.5</v>
      </c>
      <c r="J788" s="492">
        <f t="shared" si="27"/>
        <v>687.5</v>
      </c>
      <c r="K788" s="325"/>
      <c r="L788" s="326"/>
    </row>
    <row r="789" spans="1:12" ht="20.25" customHeight="1" x14ac:dyDescent="0.2">
      <c r="A789" s="108">
        <v>785</v>
      </c>
      <c r="B789" s="171" t="s">
        <v>4286</v>
      </c>
      <c r="C789" s="110" t="s">
        <v>2922</v>
      </c>
      <c r="D789" s="111" t="s">
        <v>4287</v>
      </c>
      <c r="E789" s="112" t="s">
        <v>4288</v>
      </c>
      <c r="F789" s="113" t="s">
        <v>8</v>
      </c>
      <c r="G789" s="119">
        <v>50</v>
      </c>
      <c r="H789" s="120">
        <f t="shared" si="26"/>
        <v>450</v>
      </c>
      <c r="I789" s="452">
        <f>+(1290+1380)/4</f>
        <v>667.5</v>
      </c>
      <c r="J789" s="490">
        <f t="shared" si="27"/>
        <v>1117.5</v>
      </c>
      <c r="K789" s="327"/>
      <c r="L789" s="328"/>
    </row>
    <row r="790" spans="1:12" ht="20.25" customHeight="1" x14ac:dyDescent="0.2">
      <c r="A790" s="114">
        <v>786</v>
      </c>
      <c r="B790" s="1" t="s">
        <v>4289</v>
      </c>
      <c r="C790" s="6" t="s">
        <v>4290</v>
      </c>
      <c r="D790" s="7" t="s">
        <v>4287</v>
      </c>
      <c r="E790" s="2" t="s">
        <v>4288</v>
      </c>
      <c r="F790" s="99" t="s">
        <v>11</v>
      </c>
      <c r="G790" s="121">
        <v>50</v>
      </c>
      <c r="H790" s="122">
        <f t="shared" si="26"/>
        <v>450</v>
      </c>
      <c r="I790" s="450">
        <f>+(1290+1380)/4</f>
        <v>667.5</v>
      </c>
      <c r="J790" s="491">
        <f t="shared" si="27"/>
        <v>1117.5</v>
      </c>
      <c r="K790" s="323"/>
      <c r="L790" s="324"/>
    </row>
    <row r="791" spans="1:12" ht="20.25" customHeight="1" x14ac:dyDescent="0.2">
      <c r="A791" s="114">
        <v>787</v>
      </c>
      <c r="B791" s="1" t="s">
        <v>4291</v>
      </c>
      <c r="C791" s="6" t="s">
        <v>4292</v>
      </c>
      <c r="D791" s="7" t="s">
        <v>4293</v>
      </c>
      <c r="E791" s="2" t="s">
        <v>4288</v>
      </c>
      <c r="F791" s="99" t="s">
        <v>14</v>
      </c>
      <c r="G791" s="121">
        <v>50</v>
      </c>
      <c r="H791" s="122">
        <f t="shared" si="26"/>
        <v>450</v>
      </c>
      <c r="I791" s="450">
        <f>+(1290+1380)/4</f>
        <v>667.5</v>
      </c>
      <c r="J791" s="491">
        <f t="shared" si="27"/>
        <v>1117.5</v>
      </c>
      <c r="K791" s="323"/>
      <c r="L791" s="324"/>
    </row>
    <row r="792" spans="1:12" ht="20.25" customHeight="1" thickBot="1" x14ac:dyDescent="0.25">
      <c r="A792" s="158">
        <v>788</v>
      </c>
      <c r="B792" s="159" t="s">
        <v>4294</v>
      </c>
      <c r="C792" s="160" t="s">
        <v>4295</v>
      </c>
      <c r="D792" s="161" t="s">
        <v>4296</v>
      </c>
      <c r="E792" s="162" t="s">
        <v>4288</v>
      </c>
      <c r="F792" s="163" t="s">
        <v>17</v>
      </c>
      <c r="G792" s="164">
        <v>50</v>
      </c>
      <c r="H792" s="153">
        <f t="shared" si="26"/>
        <v>450</v>
      </c>
      <c r="I792" s="451">
        <f>+(1290+1380)/4</f>
        <v>667.5</v>
      </c>
      <c r="J792" s="492">
        <f t="shared" si="27"/>
        <v>1117.5</v>
      </c>
      <c r="K792" s="325"/>
      <c r="L792" s="326"/>
    </row>
    <row r="793" spans="1:12" ht="20.25" customHeight="1" x14ac:dyDescent="0.2">
      <c r="A793" s="108">
        <v>789</v>
      </c>
      <c r="B793" s="171" t="s">
        <v>4297</v>
      </c>
      <c r="C793" s="110" t="s">
        <v>4298</v>
      </c>
      <c r="D793" s="111" t="s">
        <v>4299</v>
      </c>
      <c r="E793" s="112" t="s">
        <v>4300</v>
      </c>
      <c r="F793" s="113" t="s">
        <v>8</v>
      </c>
      <c r="G793" s="119">
        <v>150</v>
      </c>
      <c r="H793" s="120">
        <f t="shared" si="26"/>
        <v>350</v>
      </c>
      <c r="I793" s="452">
        <f>+(290+0)/4</f>
        <v>72.5</v>
      </c>
      <c r="J793" s="490">
        <f t="shared" si="27"/>
        <v>422.5</v>
      </c>
      <c r="K793" s="327"/>
      <c r="L793" s="328"/>
    </row>
    <row r="794" spans="1:12" ht="20.25" customHeight="1" x14ac:dyDescent="0.2">
      <c r="A794" s="114">
        <v>790</v>
      </c>
      <c r="B794" s="1" t="s">
        <v>4301</v>
      </c>
      <c r="C794" s="6" t="s">
        <v>4302</v>
      </c>
      <c r="D794" s="7" t="s">
        <v>4303</v>
      </c>
      <c r="E794" s="2" t="s">
        <v>4300</v>
      </c>
      <c r="F794" s="99" t="s">
        <v>11</v>
      </c>
      <c r="G794" s="121">
        <v>150</v>
      </c>
      <c r="H794" s="122">
        <f t="shared" si="26"/>
        <v>350</v>
      </c>
      <c r="I794" s="450">
        <f>+(290+0)/4</f>
        <v>72.5</v>
      </c>
      <c r="J794" s="491">
        <f t="shared" si="27"/>
        <v>422.5</v>
      </c>
      <c r="K794" s="323"/>
      <c r="L794" s="324"/>
    </row>
    <row r="795" spans="1:12" ht="20.25" customHeight="1" x14ac:dyDescent="0.2">
      <c r="A795" s="114">
        <v>791</v>
      </c>
      <c r="B795" s="1" t="s">
        <v>4304</v>
      </c>
      <c r="C795" s="6" t="s">
        <v>2793</v>
      </c>
      <c r="D795" s="7" t="s">
        <v>4305</v>
      </c>
      <c r="E795" s="2" t="s">
        <v>4300</v>
      </c>
      <c r="F795" s="99" t="s">
        <v>14</v>
      </c>
      <c r="G795" s="121">
        <v>150</v>
      </c>
      <c r="H795" s="122">
        <f t="shared" si="26"/>
        <v>350</v>
      </c>
      <c r="I795" s="450">
        <f>+(290+0)/4</f>
        <v>72.5</v>
      </c>
      <c r="J795" s="491">
        <f t="shared" si="27"/>
        <v>422.5</v>
      </c>
      <c r="K795" s="323"/>
      <c r="L795" s="324"/>
    </row>
    <row r="796" spans="1:12" ht="20.25" customHeight="1" thickBot="1" x14ac:dyDescent="0.25">
      <c r="A796" s="158">
        <v>792</v>
      </c>
      <c r="B796" s="159" t="s">
        <v>4306</v>
      </c>
      <c r="C796" s="160" t="s">
        <v>4307</v>
      </c>
      <c r="D796" s="161" t="s">
        <v>4308</v>
      </c>
      <c r="E796" s="162" t="s">
        <v>4300</v>
      </c>
      <c r="F796" s="163" t="s">
        <v>17</v>
      </c>
      <c r="G796" s="164">
        <v>150</v>
      </c>
      <c r="H796" s="153">
        <f t="shared" si="26"/>
        <v>350</v>
      </c>
      <c r="I796" s="451">
        <f>+(290+0)/4</f>
        <v>72.5</v>
      </c>
      <c r="J796" s="492">
        <f t="shared" si="27"/>
        <v>422.5</v>
      </c>
      <c r="K796" s="325"/>
      <c r="L796" s="326"/>
    </row>
    <row r="797" spans="1:12" ht="20.25" customHeight="1" x14ac:dyDescent="0.2">
      <c r="A797" s="108">
        <v>793</v>
      </c>
      <c r="B797" s="171" t="s">
        <v>4309</v>
      </c>
      <c r="C797" s="110" t="s">
        <v>4310</v>
      </c>
      <c r="D797" s="111" t="s">
        <v>4311</v>
      </c>
      <c r="E797" s="112" t="s">
        <v>4312</v>
      </c>
      <c r="F797" s="113" t="s">
        <v>8</v>
      </c>
      <c r="G797" s="119">
        <v>150</v>
      </c>
      <c r="H797" s="120">
        <f t="shared" si="26"/>
        <v>350</v>
      </c>
      <c r="I797" s="452">
        <f>+(545+1015)/4</f>
        <v>390</v>
      </c>
      <c r="J797" s="490">
        <f t="shared" si="27"/>
        <v>740</v>
      </c>
      <c r="K797" s="327"/>
      <c r="L797" s="328"/>
    </row>
    <row r="798" spans="1:12" ht="20.25" customHeight="1" x14ac:dyDescent="0.2">
      <c r="A798" s="114">
        <v>794</v>
      </c>
      <c r="B798" s="1" t="s">
        <v>4313</v>
      </c>
      <c r="C798" s="6" t="s">
        <v>4314</v>
      </c>
      <c r="D798" s="7" t="s">
        <v>4315</v>
      </c>
      <c r="E798" s="2" t="s">
        <v>4312</v>
      </c>
      <c r="F798" s="99" t="s">
        <v>11</v>
      </c>
      <c r="G798" s="121">
        <v>100</v>
      </c>
      <c r="H798" s="122">
        <f t="shared" si="26"/>
        <v>400</v>
      </c>
      <c r="I798" s="450">
        <f>+(545+1015)/4</f>
        <v>390</v>
      </c>
      <c r="J798" s="491">
        <f t="shared" si="27"/>
        <v>790</v>
      </c>
      <c r="K798" s="323"/>
      <c r="L798" s="324"/>
    </row>
    <row r="799" spans="1:12" ht="20.25" customHeight="1" x14ac:dyDescent="0.2">
      <c r="A799" s="114">
        <v>795</v>
      </c>
      <c r="B799" s="1" t="s">
        <v>4316</v>
      </c>
      <c r="C799" s="6" t="s">
        <v>4317</v>
      </c>
      <c r="D799" s="7" t="s">
        <v>4318</v>
      </c>
      <c r="E799" s="2" t="s">
        <v>4312</v>
      </c>
      <c r="F799" s="99" t="s">
        <v>14</v>
      </c>
      <c r="G799" s="121">
        <v>100</v>
      </c>
      <c r="H799" s="122">
        <f t="shared" si="26"/>
        <v>400</v>
      </c>
      <c r="I799" s="450">
        <f>+(545+1015)/4</f>
        <v>390</v>
      </c>
      <c r="J799" s="491">
        <f t="shared" si="27"/>
        <v>790</v>
      </c>
      <c r="K799" s="323"/>
      <c r="L799" s="324"/>
    </row>
    <row r="800" spans="1:12" ht="20.25" customHeight="1" thickBot="1" x14ac:dyDescent="0.25">
      <c r="A800" s="158">
        <v>796</v>
      </c>
      <c r="B800" s="159" t="s">
        <v>4319</v>
      </c>
      <c r="C800" s="160" t="s">
        <v>4320</v>
      </c>
      <c r="D800" s="161" t="s">
        <v>4321</v>
      </c>
      <c r="E800" s="162" t="s">
        <v>4312</v>
      </c>
      <c r="F800" s="163" t="s">
        <v>17</v>
      </c>
      <c r="G800" s="164">
        <v>50</v>
      </c>
      <c r="H800" s="153">
        <f t="shared" si="26"/>
        <v>450</v>
      </c>
      <c r="I800" s="451">
        <f>+(545+1015)/4</f>
        <v>390</v>
      </c>
      <c r="J800" s="492">
        <f t="shared" si="27"/>
        <v>840</v>
      </c>
      <c r="K800" s="325"/>
      <c r="L800" s="326"/>
    </row>
    <row r="801" spans="1:12" ht="20.25" customHeight="1" x14ac:dyDescent="0.2">
      <c r="A801" s="108">
        <v>797</v>
      </c>
      <c r="B801" s="171" t="s">
        <v>4322</v>
      </c>
      <c r="C801" s="110" t="s">
        <v>2339</v>
      </c>
      <c r="D801" s="111" t="s">
        <v>4323</v>
      </c>
      <c r="E801" s="112" t="s">
        <v>4324</v>
      </c>
      <c r="F801" s="113" t="s">
        <v>8</v>
      </c>
      <c r="G801" s="119">
        <v>100</v>
      </c>
      <c r="H801" s="120">
        <f t="shared" si="26"/>
        <v>400</v>
      </c>
      <c r="I801" s="452">
        <f>+(0+0)/4</f>
        <v>0</v>
      </c>
      <c r="J801" s="490">
        <f t="shared" si="27"/>
        <v>400</v>
      </c>
      <c r="K801" s="327"/>
      <c r="L801" s="328"/>
    </row>
    <row r="802" spans="1:12" ht="20.25" customHeight="1" x14ac:dyDescent="0.2">
      <c r="A802" s="114">
        <v>798</v>
      </c>
      <c r="B802" s="1" t="s">
        <v>4325</v>
      </c>
      <c r="C802" s="6" t="s">
        <v>4326</v>
      </c>
      <c r="D802" s="7" t="s">
        <v>4327</v>
      </c>
      <c r="E802" s="2" t="s">
        <v>4324</v>
      </c>
      <c r="F802" s="99" t="s">
        <v>11</v>
      </c>
      <c r="G802" s="121">
        <v>50</v>
      </c>
      <c r="H802" s="122">
        <f t="shared" si="26"/>
        <v>450</v>
      </c>
      <c r="I802" s="450">
        <f>+(0+0)/4</f>
        <v>0</v>
      </c>
      <c r="J802" s="491">
        <f t="shared" si="27"/>
        <v>450</v>
      </c>
      <c r="K802" s="323"/>
      <c r="L802" s="324"/>
    </row>
    <row r="803" spans="1:12" ht="20.25" customHeight="1" x14ac:dyDescent="0.2">
      <c r="A803" s="114">
        <v>799</v>
      </c>
      <c r="B803" s="1" t="s">
        <v>4328</v>
      </c>
      <c r="C803" s="6" t="s">
        <v>2487</v>
      </c>
      <c r="D803" s="7" t="s">
        <v>4329</v>
      </c>
      <c r="E803" s="2" t="s">
        <v>4324</v>
      </c>
      <c r="F803" s="99" t="s">
        <v>14</v>
      </c>
      <c r="G803" s="121">
        <v>50</v>
      </c>
      <c r="H803" s="122">
        <f t="shared" si="26"/>
        <v>450</v>
      </c>
      <c r="I803" s="450">
        <f>+(0+0)/4</f>
        <v>0</v>
      </c>
      <c r="J803" s="491">
        <f t="shared" si="27"/>
        <v>450</v>
      </c>
      <c r="K803" s="323"/>
      <c r="L803" s="324"/>
    </row>
    <row r="804" spans="1:12" ht="20.25" customHeight="1" thickBot="1" x14ac:dyDescent="0.25">
      <c r="A804" s="158">
        <v>800</v>
      </c>
      <c r="B804" s="159" t="s">
        <v>4330</v>
      </c>
      <c r="C804" s="160" t="s">
        <v>4331</v>
      </c>
      <c r="D804" s="161" t="s">
        <v>4332</v>
      </c>
      <c r="E804" s="162" t="s">
        <v>4324</v>
      </c>
      <c r="F804" s="163" t="s">
        <v>17</v>
      </c>
      <c r="G804" s="164">
        <v>50</v>
      </c>
      <c r="H804" s="153">
        <f t="shared" si="26"/>
        <v>450</v>
      </c>
      <c r="I804" s="451">
        <f>+(0+0)/4</f>
        <v>0</v>
      </c>
      <c r="J804" s="492">
        <f t="shared" si="27"/>
        <v>450</v>
      </c>
      <c r="K804" s="325"/>
      <c r="L804" s="326"/>
    </row>
    <row r="805" spans="1:12" ht="20.25" customHeight="1" x14ac:dyDescent="0.2">
      <c r="A805" s="108">
        <v>801</v>
      </c>
      <c r="B805" s="174" t="s">
        <v>4333</v>
      </c>
      <c r="C805" s="175" t="s">
        <v>4334</v>
      </c>
      <c r="D805" s="176" t="s">
        <v>4335</v>
      </c>
      <c r="E805" s="177" t="s">
        <v>4336</v>
      </c>
      <c r="F805" s="178" t="s">
        <v>8</v>
      </c>
      <c r="G805" s="179">
        <v>100</v>
      </c>
      <c r="H805" s="120">
        <f t="shared" si="26"/>
        <v>400</v>
      </c>
      <c r="I805" s="452">
        <f>+(1280+1390)/4</f>
        <v>667.5</v>
      </c>
      <c r="J805" s="490">
        <f t="shared" si="27"/>
        <v>1067.5</v>
      </c>
      <c r="K805" s="327"/>
      <c r="L805" s="328"/>
    </row>
    <row r="806" spans="1:12" ht="20.25" customHeight="1" x14ac:dyDescent="0.2">
      <c r="A806" s="114">
        <v>802</v>
      </c>
      <c r="B806" s="47" t="s">
        <v>4337</v>
      </c>
      <c r="C806" s="10" t="s">
        <v>3488</v>
      </c>
      <c r="D806" s="11" t="s">
        <v>4338</v>
      </c>
      <c r="E806" s="5" t="s">
        <v>4336</v>
      </c>
      <c r="F806" s="100" t="s">
        <v>11</v>
      </c>
      <c r="G806" s="125">
        <v>150</v>
      </c>
      <c r="H806" s="122">
        <f t="shared" si="26"/>
        <v>350</v>
      </c>
      <c r="I806" s="450">
        <f>+(1280+1390)/4</f>
        <v>667.5</v>
      </c>
      <c r="J806" s="491">
        <f t="shared" si="27"/>
        <v>1017.5</v>
      </c>
      <c r="K806" s="323"/>
      <c r="L806" s="324"/>
    </row>
    <row r="807" spans="1:12" ht="20.25" customHeight="1" x14ac:dyDescent="0.2">
      <c r="A807" s="114">
        <v>803</v>
      </c>
      <c r="B807" s="47" t="s">
        <v>4938</v>
      </c>
      <c r="C807" s="10" t="s">
        <v>2506</v>
      </c>
      <c r="D807" s="11" t="s">
        <v>4937</v>
      </c>
      <c r="E807" s="5" t="s">
        <v>4336</v>
      </c>
      <c r="F807" s="100" t="s">
        <v>14</v>
      </c>
      <c r="G807" s="125">
        <v>150</v>
      </c>
      <c r="H807" s="122">
        <f t="shared" si="26"/>
        <v>350</v>
      </c>
      <c r="I807" s="450">
        <f>+(1280+1390)/4</f>
        <v>667.5</v>
      </c>
      <c r="J807" s="491">
        <f t="shared" si="27"/>
        <v>1017.5</v>
      </c>
      <c r="K807" s="323"/>
      <c r="L807" s="324"/>
    </row>
    <row r="808" spans="1:12" ht="20.25" customHeight="1" thickBot="1" x14ac:dyDescent="0.25">
      <c r="A808" s="158">
        <v>804</v>
      </c>
      <c r="B808" s="192" t="s">
        <v>4339</v>
      </c>
      <c r="C808" s="193" t="s">
        <v>4340</v>
      </c>
      <c r="D808" s="194" t="s">
        <v>4341</v>
      </c>
      <c r="E808" s="195" t="s">
        <v>4336</v>
      </c>
      <c r="F808" s="196" t="s">
        <v>17</v>
      </c>
      <c r="G808" s="197">
        <v>100</v>
      </c>
      <c r="H808" s="153">
        <f t="shared" si="26"/>
        <v>400</v>
      </c>
      <c r="I808" s="451">
        <f>+(1280+1390)/4</f>
        <v>667.5</v>
      </c>
      <c r="J808" s="492">
        <f t="shared" si="27"/>
        <v>1067.5</v>
      </c>
      <c r="K808" s="325"/>
      <c r="L808" s="326"/>
    </row>
    <row r="809" spans="1:12" ht="20.25" customHeight="1" x14ac:dyDescent="0.2">
      <c r="A809" s="108">
        <v>805</v>
      </c>
      <c r="B809" s="171" t="s">
        <v>4342</v>
      </c>
      <c r="C809" s="110" t="s">
        <v>4343</v>
      </c>
      <c r="D809" s="111" t="s">
        <v>4344</v>
      </c>
      <c r="E809" s="112" t="s">
        <v>4345</v>
      </c>
      <c r="F809" s="113" t="s">
        <v>8</v>
      </c>
      <c r="G809" s="119">
        <v>150</v>
      </c>
      <c r="H809" s="120">
        <f t="shared" si="26"/>
        <v>350</v>
      </c>
      <c r="I809" s="452">
        <f>+(1025+1335)/4</f>
        <v>590</v>
      </c>
      <c r="J809" s="490">
        <f t="shared" si="27"/>
        <v>940</v>
      </c>
      <c r="K809" s="327"/>
      <c r="L809" s="328"/>
    </row>
    <row r="810" spans="1:12" ht="20.25" customHeight="1" x14ac:dyDescent="0.2">
      <c r="A810" s="114">
        <v>806</v>
      </c>
      <c r="B810" s="1" t="s">
        <v>4346</v>
      </c>
      <c r="C810" s="6" t="s">
        <v>3068</v>
      </c>
      <c r="D810" s="7" t="s">
        <v>4347</v>
      </c>
      <c r="E810" s="2" t="s">
        <v>4345</v>
      </c>
      <c r="F810" s="99" t="s">
        <v>11</v>
      </c>
      <c r="G810" s="121">
        <v>50</v>
      </c>
      <c r="H810" s="122">
        <f t="shared" si="26"/>
        <v>450</v>
      </c>
      <c r="I810" s="450">
        <f>+(1025+1335)/4</f>
        <v>590</v>
      </c>
      <c r="J810" s="491">
        <f t="shared" si="27"/>
        <v>1040</v>
      </c>
      <c r="K810" s="323"/>
      <c r="L810" s="324"/>
    </row>
    <row r="811" spans="1:12" ht="20.25" customHeight="1" x14ac:dyDescent="0.2">
      <c r="A811" s="114">
        <v>807</v>
      </c>
      <c r="B811" s="1" t="s">
        <v>4348</v>
      </c>
      <c r="C811" s="6" t="s">
        <v>2519</v>
      </c>
      <c r="D811" s="7" t="s">
        <v>4349</v>
      </c>
      <c r="E811" s="2" t="s">
        <v>4345</v>
      </c>
      <c r="F811" s="99" t="s">
        <v>14</v>
      </c>
      <c r="G811" s="121">
        <v>150</v>
      </c>
      <c r="H811" s="122">
        <f t="shared" si="26"/>
        <v>350</v>
      </c>
      <c r="I811" s="450">
        <f>+(1025+1335)/4</f>
        <v>590</v>
      </c>
      <c r="J811" s="491">
        <f t="shared" si="27"/>
        <v>940</v>
      </c>
      <c r="K811" s="323"/>
      <c r="L811" s="324"/>
    </row>
    <row r="812" spans="1:12" ht="20.25" customHeight="1" thickBot="1" x14ac:dyDescent="0.25">
      <c r="A812" s="158">
        <v>808</v>
      </c>
      <c r="B812" s="159" t="s">
        <v>4350</v>
      </c>
      <c r="C812" s="160" t="s">
        <v>4351</v>
      </c>
      <c r="D812" s="161" t="s">
        <v>4352</v>
      </c>
      <c r="E812" s="162" t="s">
        <v>4345</v>
      </c>
      <c r="F812" s="163" t="s">
        <v>17</v>
      </c>
      <c r="G812" s="164">
        <v>50</v>
      </c>
      <c r="H812" s="153">
        <f t="shared" si="26"/>
        <v>450</v>
      </c>
      <c r="I812" s="451">
        <f>+(1025+1335)/4</f>
        <v>590</v>
      </c>
      <c r="J812" s="492">
        <f t="shared" si="27"/>
        <v>1040</v>
      </c>
      <c r="K812" s="325"/>
      <c r="L812" s="326"/>
    </row>
    <row r="813" spans="1:12" ht="20.25" customHeight="1" x14ac:dyDescent="0.2">
      <c r="A813" s="108">
        <v>809</v>
      </c>
      <c r="B813" s="171" t="s">
        <v>4353</v>
      </c>
      <c r="C813" s="110" t="s">
        <v>3081</v>
      </c>
      <c r="D813" s="111" t="s">
        <v>4354</v>
      </c>
      <c r="E813" s="112" t="s">
        <v>4355</v>
      </c>
      <c r="F813" s="113" t="s">
        <v>8</v>
      </c>
      <c r="G813" s="119">
        <v>50</v>
      </c>
      <c r="H813" s="120">
        <f t="shared" si="26"/>
        <v>450</v>
      </c>
      <c r="I813" s="452">
        <f>+(530+1035)/4</f>
        <v>391.25</v>
      </c>
      <c r="J813" s="490">
        <f t="shared" si="27"/>
        <v>841.25</v>
      </c>
      <c r="K813" s="327"/>
      <c r="L813" s="328"/>
    </row>
    <row r="814" spans="1:12" ht="20.25" customHeight="1" x14ac:dyDescent="0.2">
      <c r="A814" s="114">
        <v>810</v>
      </c>
      <c r="B814" s="1" t="s">
        <v>4356</v>
      </c>
      <c r="C814" s="6" t="s">
        <v>4357</v>
      </c>
      <c r="D814" s="7" t="s">
        <v>4358</v>
      </c>
      <c r="E814" s="2" t="s">
        <v>4355</v>
      </c>
      <c r="F814" s="99" t="s">
        <v>11</v>
      </c>
      <c r="G814" s="121">
        <v>50</v>
      </c>
      <c r="H814" s="122">
        <f t="shared" si="26"/>
        <v>450</v>
      </c>
      <c r="I814" s="450">
        <f>+(530+1035)/4</f>
        <v>391.25</v>
      </c>
      <c r="J814" s="491">
        <f t="shared" si="27"/>
        <v>841.25</v>
      </c>
      <c r="K814" s="323"/>
      <c r="L814" s="324"/>
    </row>
    <row r="815" spans="1:12" ht="20.25" customHeight="1" x14ac:dyDescent="0.2">
      <c r="A815" s="114">
        <v>811</v>
      </c>
      <c r="B815" s="1" t="s">
        <v>4359</v>
      </c>
      <c r="C815" s="6" t="s">
        <v>4360</v>
      </c>
      <c r="D815" s="7" t="s">
        <v>4361</v>
      </c>
      <c r="E815" s="2" t="s">
        <v>4355</v>
      </c>
      <c r="F815" s="99" t="s">
        <v>14</v>
      </c>
      <c r="G815" s="121">
        <v>100</v>
      </c>
      <c r="H815" s="122">
        <f t="shared" si="26"/>
        <v>400</v>
      </c>
      <c r="I815" s="450">
        <f>+(530+1035)/4</f>
        <v>391.25</v>
      </c>
      <c r="J815" s="491">
        <f t="shared" si="27"/>
        <v>791.25</v>
      </c>
      <c r="K815" s="323"/>
      <c r="L815" s="324"/>
    </row>
    <row r="816" spans="1:12" ht="20.25" customHeight="1" thickBot="1" x14ac:dyDescent="0.25">
      <c r="A816" s="158">
        <v>812</v>
      </c>
      <c r="B816" s="159" t="s">
        <v>4362</v>
      </c>
      <c r="C816" s="160" t="s">
        <v>4363</v>
      </c>
      <c r="D816" s="161" t="s">
        <v>4364</v>
      </c>
      <c r="E816" s="162" t="s">
        <v>4355</v>
      </c>
      <c r="F816" s="163" t="s">
        <v>17</v>
      </c>
      <c r="G816" s="164">
        <v>100</v>
      </c>
      <c r="H816" s="153">
        <f t="shared" si="26"/>
        <v>400</v>
      </c>
      <c r="I816" s="451">
        <f>+(530+1035)/4</f>
        <v>391.25</v>
      </c>
      <c r="J816" s="492">
        <f t="shared" si="27"/>
        <v>791.25</v>
      </c>
      <c r="K816" s="325"/>
      <c r="L816" s="326"/>
    </row>
    <row r="817" spans="1:12" ht="20.25" customHeight="1" x14ac:dyDescent="0.2">
      <c r="A817" s="108">
        <v>813</v>
      </c>
      <c r="B817" s="171" t="s">
        <v>4365</v>
      </c>
      <c r="C817" s="110" t="s">
        <v>4366</v>
      </c>
      <c r="D817" s="111" t="s">
        <v>2340</v>
      </c>
      <c r="E817" s="112" t="s">
        <v>4367</v>
      </c>
      <c r="F817" s="113" t="s">
        <v>8</v>
      </c>
      <c r="G817" s="119">
        <v>150</v>
      </c>
      <c r="H817" s="120">
        <f t="shared" si="26"/>
        <v>350</v>
      </c>
      <c r="I817" s="452">
        <f>+(900+735)/4</f>
        <v>408.75</v>
      </c>
      <c r="J817" s="490">
        <f t="shared" si="27"/>
        <v>758.75</v>
      </c>
      <c r="K817" s="327"/>
      <c r="L817" s="328"/>
    </row>
    <row r="818" spans="1:12" ht="20.25" customHeight="1" x14ac:dyDescent="0.2">
      <c r="A818" s="114">
        <v>814</v>
      </c>
      <c r="B818" s="1" t="s">
        <v>4368</v>
      </c>
      <c r="C818" s="6" t="s">
        <v>4369</v>
      </c>
      <c r="D818" s="7" t="s">
        <v>4370</v>
      </c>
      <c r="E818" s="2" t="s">
        <v>4367</v>
      </c>
      <c r="F818" s="99" t="s">
        <v>11</v>
      </c>
      <c r="G818" s="121">
        <v>150</v>
      </c>
      <c r="H818" s="122">
        <f t="shared" si="26"/>
        <v>350</v>
      </c>
      <c r="I818" s="450">
        <f>+(900+735)/4</f>
        <v>408.75</v>
      </c>
      <c r="J818" s="491">
        <f t="shared" si="27"/>
        <v>758.75</v>
      </c>
      <c r="K818" s="323"/>
      <c r="L818" s="324"/>
    </row>
    <row r="819" spans="1:12" ht="20.25" customHeight="1" x14ac:dyDescent="0.2">
      <c r="A819" s="114">
        <v>815</v>
      </c>
      <c r="B819" s="1" t="s">
        <v>4371</v>
      </c>
      <c r="C819" s="6" t="s">
        <v>4372</v>
      </c>
      <c r="D819" s="7" t="s">
        <v>918</v>
      </c>
      <c r="E819" s="2" t="s">
        <v>4367</v>
      </c>
      <c r="F819" s="99" t="s">
        <v>14</v>
      </c>
      <c r="G819" s="121">
        <v>50</v>
      </c>
      <c r="H819" s="122">
        <f t="shared" si="26"/>
        <v>450</v>
      </c>
      <c r="I819" s="450">
        <f>+(900+735)/4</f>
        <v>408.75</v>
      </c>
      <c r="J819" s="491">
        <f t="shared" si="27"/>
        <v>858.75</v>
      </c>
      <c r="K819" s="323"/>
      <c r="L819" s="324"/>
    </row>
    <row r="820" spans="1:12" ht="20.25" customHeight="1" thickBot="1" x14ac:dyDescent="0.25">
      <c r="A820" s="158">
        <v>816</v>
      </c>
      <c r="B820" s="159" t="s">
        <v>4375</v>
      </c>
      <c r="C820" s="160" t="s">
        <v>2256</v>
      </c>
      <c r="D820" s="161" t="s">
        <v>4376</v>
      </c>
      <c r="E820" s="162" t="s">
        <v>4367</v>
      </c>
      <c r="F820" s="163" t="s">
        <v>17</v>
      </c>
      <c r="G820" s="164">
        <v>150</v>
      </c>
      <c r="H820" s="153">
        <f t="shared" si="26"/>
        <v>350</v>
      </c>
      <c r="I820" s="451">
        <f>+(900+735)/4</f>
        <v>408.75</v>
      </c>
      <c r="J820" s="492">
        <f t="shared" si="27"/>
        <v>758.75</v>
      </c>
      <c r="K820" s="325"/>
      <c r="L820" s="326"/>
    </row>
    <row r="821" spans="1:12" ht="20.25" customHeight="1" x14ac:dyDescent="0.2">
      <c r="A821" s="108">
        <v>817</v>
      </c>
      <c r="B821" s="171" t="s">
        <v>4377</v>
      </c>
      <c r="C821" s="110" t="s">
        <v>2465</v>
      </c>
      <c r="D821" s="111" t="s">
        <v>4378</v>
      </c>
      <c r="E821" s="112" t="s">
        <v>4379</v>
      </c>
      <c r="F821" s="113" t="s">
        <v>8</v>
      </c>
      <c r="G821" s="119">
        <v>225</v>
      </c>
      <c r="H821" s="120">
        <f t="shared" si="26"/>
        <v>275</v>
      </c>
      <c r="I821" s="452">
        <f>+(960+735)/4</f>
        <v>423.75</v>
      </c>
      <c r="J821" s="490">
        <f t="shared" si="27"/>
        <v>698.75</v>
      </c>
      <c r="K821" s="327"/>
      <c r="L821" s="328"/>
    </row>
    <row r="822" spans="1:12" ht="20.25" customHeight="1" x14ac:dyDescent="0.2">
      <c r="A822" s="114">
        <v>818</v>
      </c>
      <c r="B822" s="1" t="s">
        <v>4380</v>
      </c>
      <c r="C822" s="6" t="s">
        <v>2260</v>
      </c>
      <c r="D822" s="7" t="s">
        <v>4381</v>
      </c>
      <c r="E822" s="2" t="s">
        <v>4379</v>
      </c>
      <c r="F822" s="99" t="s">
        <v>11</v>
      </c>
      <c r="G822" s="121">
        <v>225</v>
      </c>
      <c r="H822" s="122">
        <f t="shared" si="26"/>
        <v>275</v>
      </c>
      <c r="I822" s="450">
        <f>+(960+735)/4</f>
        <v>423.75</v>
      </c>
      <c r="J822" s="491">
        <f t="shared" si="27"/>
        <v>698.75</v>
      </c>
      <c r="K822" s="323"/>
      <c r="L822" s="324"/>
    </row>
    <row r="823" spans="1:12" ht="20.25" customHeight="1" x14ac:dyDescent="0.2">
      <c r="A823" s="114">
        <v>819</v>
      </c>
      <c r="B823" s="1" t="s">
        <v>4382</v>
      </c>
      <c r="C823" s="6" t="s">
        <v>2845</v>
      </c>
      <c r="D823" s="7" t="s">
        <v>4383</v>
      </c>
      <c r="E823" s="2" t="s">
        <v>4379</v>
      </c>
      <c r="F823" s="99" t="s">
        <v>14</v>
      </c>
      <c r="G823" s="121">
        <v>225</v>
      </c>
      <c r="H823" s="122">
        <f t="shared" si="26"/>
        <v>275</v>
      </c>
      <c r="I823" s="450">
        <f>+(960+735)/4</f>
        <v>423.75</v>
      </c>
      <c r="J823" s="491">
        <f t="shared" si="27"/>
        <v>698.75</v>
      </c>
      <c r="K823" s="323"/>
      <c r="L823" s="324"/>
    </row>
    <row r="824" spans="1:12" ht="20.25" customHeight="1" thickBot="1" x14ac:dyDescent="0.25">
      <c r="A824" s="158">
        <v>820</v>
      </c>
      <c r="B824" s="159" t="s">
        <v>4384</v>
      </c>
      <c r="C824" s="160" t="s">
        <v>4385</v>
      </c>
      <c r="D824" s="161" t="s">
        <v>4386</v>
      </c>
      <c r="E824" s="162" t="s">
        <v>4379</v>
      </c>
      <c r="F824" s="163" t="s">
        <v>17</v>
      </c>
      <c r="G824" s="164">
        <v>525</v>
      </c>
      <c r="H824" s="153">
        <f t="shared" si="26"/>
        <v>-25</v>
      </c>
      <c r="I824" s="451">
        <f>+(960+735)/4</f>
        <v>423.75</v>
      </c>
      <c r="J824" s="492">
        <f t="shared" si="27"/>
        <v>398.75</v>
      </c>
      <c r="K824" s="325"/>
      <c r="L824" s="326"/>
    </row>
    <row r="825" spans="1:12" ht="20.25" customHeight="1" x14ac:dyDescent="0.2">
      <c r="A825" s="108">
        <v>821</v>
      </c>
      <c r="B825" s="171" t="s">
        <v>4387</v>
      </c>
      <c r="C825" s="110" t="s">
        <v>3766</v>
      </c>
      <c r="D825" s="111" t="s">
        <v>4388</v>
      </c>
      <c r="E825" s="112" t="s">
        <v>4389</v>
      </c>
      <c r="F825" s="113" t="s">
        <v>8</v>
      </c>
      <c r="G825" s="119">
        <v>50</v>
      </c>
      <c r="H825" s="120">
        <f t="shared" si="26"/>
        <v>450</v>
      </c>
      <c r="I825" s="452">
        <f>+(400+1000)/4</f>
        <v>350</v>
      </c>
      <c r="J825" s="490">
        <f t="shared" si="27"/>
        <v>800</v>
      </c>
      <c r="K825" s="327"/>
      <c r="L825" s="328"/>
    </row>
    <row r="826" spans="1:12" ht="20.25" customHeight="1" x14ac:dyDescent="0.2">
      <c r="A826" s="114">
        <v>822</v>
      </c>
      <c r="B826" s="1" t="s">
        <v>4390</v>
      </c>
      <c r="C826" s="6" t="s">
        <v>2922</v>
      </c>
      <c r="D826" s="7" t="s">
        <v>4391</v>
      </c>
      <c r="E826" s="2" t="s">
        <v>4389</v>
      </c>
      <c r="F826" s="99" t="s">
        <v>11</v>
      </c>
      <c r="G826" s="121">
        <v>50</v>
      </c>
      <c r="H826" s="122">
        <f t="shared" si="26"/>
        <v>450</v>
      </c>
      <c r="I826" s="450">
        <f>+(400+1000)/4</f>
        <v>350</v>
      </c>
      <c r="J826" s="491">
        <f t="shared" si="27"/>
        <v>800</v>
      </c>
      <c r="K826" s="323"/>
      <c r="L826" s="324"/>
    </row>
    <row r="827" spans="1:12" ht="20.25" customHeight="1" x14ac:dyDescent="0.2">
      <c r="A827" s="114">
        <v>823</v>
      </c>
      <c r="B827" s="1" t="s">
        <v>4392</v>
      </c>
      <c r="C827" s="6" t="s">
        <v>2737</v>
      </c>
      <c r="D827" s="7" t="s">
        <v>4393</v>
      </c>
      <c r="E827" s="2" t="s">
        <v>4389</v>
      </c>
      <c r="F827" s="99" t="s">
        <v>14</v>
      </c>
      <c r="G827" s="121">
        <v>50</v>
      </c>
      <c r="H827" s="122">
        <f t="shared" si="26"/>
        <v>450</v>
      </c>
      <c r="I827" s="450">
        <f>+(400+1000)/4</f>
        <v>350</v>
      </c>
      <c r="J827" s="491">
        <f t="shared" si="27"/>
        <v>800</v>
      </c>
      <c r="K827" s="323"/>
      <c r="L827" s="324"/>
    </row>
    <row r="828" spans="1:12" ht="20.25" customHeight="1" thickBot="1" x14ac:dyDescent="0.25">
      <c r="A828" s="158">
        <v>824</v>
      </c>
      <c r="B828" s="159" t="s">
        <v>4394</v>
      </c>
      <c r="C828" s="160" t="s">
        <v>2177</v>
      </c>
      <c r="D828" s="161" t="s">
        <v>4395</v>
      </c>
      <c r="E828" s="162" t="s">
        <v>4389</v>
      </c>
      <c r="F828" s="163" t="s">
        <v>17</v>
      </c>
      <c r="G828" s="164">
        <v>50</v>
      </c>
      <c r="H828" s="153">
        <f t="shared" si="26"/>
        <v>450</v>
      </c>
      <c r="I828" s="451">
        <f>+(400+1000)/4</f>
        <v>350</v>
      </c>
      <c r="J828" s="492">
        <f t="shared" si="27"/>
        <v>800</v>
      </c>
      <c r="K828" s="325"/>
      <c r="L828" s="326"/>
    </row>
    <row r="829" spans="1:12" ht="20.25" customHeight="1" x14ac:dyDescent="0.2">
      <c r="A829" s="108">
        <v>825</v>
      </c>
      <c r="B829" s="174" t="s">
        <v>4396</v>
      </c>
      <c r="C829" s="175" t="s">
        <v>2284</v>
      </c>
      <c r="D829" s="176" t="s">
        <v>4397</v>
      </c>
      <c r="E829" s="177" t="s">
        <v>4398</v>
      </c>
      <c r="F829" s="178" t="s">
        <v>8</v>
      </c>
      <c r="G829" s="179">
        <v>100</v>
      </c>
      <c r="H829" s="120">
        <f t="shared" si="26"/>
        <v>400</v>
      </c>
      <c r="I829" s="452">
        <f>+(1170+1205)/4</f>
        <v>593.75</v>
      </c>
      <c r="J829" s="490">
        <f t="shared" si="27"/>
        <v>993.75</v>
      </c>
      <c r="K829" s="327"/>
      <c r="L829" s="328"/>
    </row>
    <row r="830" spans="1:12" ht="20.25" customHeight="1" x14ac:dyDescent="0.2">
      <c r="A830" s="114">
        <v>826</v>
      </c>
      <c r="B830" s="47" t="s">
        <v>4941</v>
      </c>
      <c r="C830" s="10" t="s">
        <v>4939</v>
      </c>
      <c r="D830" s="11" t="s">
        <v>4940</v>
      </c>
      <c r="E830" s="5" t="s">
        <v>4398</v>
      </c>
      <c r="F830" s="100">
        <v>2</v>
      </c>
      <c r="G830" s="125">
        <v>150</v>
      </c>
      <c r="H830" s="122">
        <f t="shared" si="26"/>
        <v>350</v>
      </c>
      <c r="I830" s="450">
        <f>+(1170+1205)/4</f>
        <v>593.75</v>
      </c>
      <c r="J830" s="491">
        <f t="shared" si="27"/>
        <v>943.75</v>
      </c>
      <c r="K830" s="323"/>
      <c r="L830" s="324"/>
    </row>
    <row r="831" spans="1:12" ht="20.25" customHeight="1" x14ac:dyDescent="0.2">
      <c r="A831" s="114">
        <v>827</v>
      </c>
      <c r="B831" s="47" t="s">
        <v>4399</v>
      </c>
      <c r="C831" s="10" t="s">
        <v>3320</v>
      </c>
      <c r="D831" s="11" t="s">
        <v>4400</v>
      </c>
      <c r="E831" s="5" t="s">
        <v>4398</v>
      </c>
      <c r="F831" s="100" t="s">
        <v>14</v>
      </c>
      <c r="G831" s="125">
        <v>100</v>
      </c>
      <c r="H831" s="122">
        <f t="shared" si="26"/>
        <v>400</v>
      </c>
      <c r="I831" s="450">
        <f>+(1170+1205)/4</f>
        <v>593.75</v>
      </c>
      <c r="J831" s="491">
        <f t="shared" si="27"/>
        <v>993.75</v>
      </c>
      <c r="K831" s="323"/>
      <c r="L831" s="324"/>
    </row>
    <row r="832" spans="1:12" ht="20.25" customHeight="1" thickBot="1" x14ac:dyDescent="0.25">
      <c r="A832" s="158">
        <v>828</v>
      </c>
      <c r="B832" s="192" t="s">
        <v>4401</v>
      </c>
      <c r="C832" s="193" t="s">
        <v>2288</v>
      </c>
      <c r="D832" s="194" t="s">
        <v>2900</v>
      </c>
      <c r="E832" s="195" t="s">
        <v>4398</v>
      </c>
      <c r="F832" s="196" t="s">
        <v>17</v>
      </c>
      <c r="G832" s="197">
        <v>100</v>
      </c>
      <c r="H832" s="153">
        <f t="shared" si="26"/>
        <v>400</v>
      </c>
      <c r="I832" s="451">
        <f>+(1170+1205)/4</f>
        <v>593.75</v>
      </c>
      <c r="J832" s="492">
        <f t="shared" si="27"/>
        <v>993.75</v>
      </c>
      <c r="K832" s="325"/>
      <c r="L832" s="326"/>
    </row>
    <row r="833" spans="1:12" ht="20.25" customHeight="1" x14ac:dyDescent="0.2">
      <c r="A833" s="108">
        <v>829</v>
      </c>
      <c r="B833" s="171" t="s">
        <v>4402</v>
      </c>
      <c r="C833" s="110" t="s">
        <v>4403</v>
      </c>
      <c r="D833" s="111" t="s">
        <v>4404</v>
      </c>
      <c r="E833" s="112" t="s">
        <v>4405</v>
      </c>
      <c r="F833" s="113" t="s">
        <v>8</v>
      </c>
      <c r="G833" s="119">
        <v>50</v>
      </c>
      <c r="H833" s="120">
        <f t="shared" si="26"/>
        <v>450</v>
      </c>
      <c r="I833" s="452">
        <f>+(745+1630)/4</f>
        <v>593.75</v>
      </c>
      <c r="J833" s="490">
        <f t="shared" si="27"/>
        <v>1043.75</v>
      </c>
      <c r="K833" s="327"/>
      <c r="L833" s="328"/>
    </row>
    <row r="834" spans="1:12" ht="20.25" customHeight="1" x14ac:dyDescent="0.2">
      <c r="A834" s="114">
        <v>830</v>
      </c>
      <c r="B834" s="1" t="s">
        <v>4406</v>
      </c>
      <c r="C834" s="6" t="s">
        <v>4407</v>
      </c>
      <c r="D834" s="7" t="s">
        <v>4408</v>
      </c>
      <c r="E834" s="2" t="s">
        <v>4405</v>
      </c>
      <c r="F834" s="99" t="s">
        <v>11</v>
      </c>
      <c r="G834" s="121">
        <v>50</v>
      </c>
      <c r="H834" s="122">
        <f t="shared" si="26"/>
        <v>450</v>
      </c>
      <c r="I834" s="450">
        <f>+(745+1630)/4</f>
        <v>593.75</v>
      </c>
      <c r="J834" s="491">
        <f t="shared" si="27"/>
        <v>1043.75</v>
      </c>
      <c r="K834" s="323"/>
      <c r="L834" s="324"/>
    </row>
    <row r="835" spans="1:12" ht="20.25" customHeight="1" x14ac:dyDescent="0.2">
      <c r="A835" s="114">
        <v>831</v>
      </c>
      <c r="B835" s="1" t="s">
        <v>4409</v>
      </c>
      <c r="C835" s="6" t="s">
        <v>4410</v>
      </c>
      <c r="D835" s="7" t="s">
        <v>4411</v>
      </c>
      <c r="E835" s="2" t="s">
        <v>4405</v>
      </c>
      <c r="F835" s="99" t="s">
        <v>14</v>
      </c>
      <c r="G835" s="121">
        <v>50</v>
      </c>
      <c r="H835" s="122">
        <f t="shared" si="26"/>
        <v>450</v>
      </c>
      <c r="I835" s="450">
        <f>+(745+1630)/4</f>
        <v>593.75</v>
      </c>
      <c r="J835" s="491">
        <f t="shared" si="27"/>
        <v>1043.75</v>
      </c>
      <c r="K835" s="323"/>
      <c r="L835" s="324"/>
    </row>
    <row r="836" spans="1:12" ht="20.25" customHeight="1" thickBot="1" x14ac:dyDescent="0.25">
      <c r="A836" s="158">
        <v>832</v>
      </c>
      <c r="B836" s="159" t="s">
        <v>4412</v>
      </c>
      <c r="C836" s="160" t="s">
        <v>2149</v>
      </c>
      <c r="D836" s="161" t="s">
        <v>4413</v>
      </c>
      <c r="E836" s="162" t="s">
        <v>4405</v>
      </c>
      <c r="F836" s="163" t="s">
        <v>17</v>
      </c>
      <c r="G836" s="164">
        <v>50</v>
      </c>
      <c r="H836" s="153">
        <f t="shared" si="26"/>
        <v>450</v>
      </c>
      <c r="I836" s="451">
        <f>+(745+1630)/4</f>
        <v>593.75</v>
      </c>
      <c r="J836" s="492">
        <f t="shared" si="27"/>
        <v>1043.75</v>
      </c>
      <c r="K836" s="325"/>
      <c r="L836" s="326"/>
    </row>
    <row r="837" spans="1:12" ht="20.25" customHeight="1" x14ac:dyDescent="0.2">
      <c r="A837" s="108">
        <v>833</v>
      </c>
      <c r="B837" s="171" t="s">
        <v>4414</v>
      </c>
      <c r="C837" s="110" t="s">
        <v>4415</v>
      </c>
      <c r="D837" s="111" t="s">
        <v>4416</v>
      </c>
      <c r="E837" s="112" t="s">
        <v>4417</v>
      </c>
      <c r="F837" s="113" t="s">
        <v>8</v>
      </c>
      <c r="G837" s="119">
        <v>100</v>
      </c>
      <c r="H837" s="120">
        <f t="shared" ref="H837:H900" si="28">500-G837</f>
        <v>400</v>
      </c>
      <c r="I837" s="452">
        <f>+(930+1335)/4</f>
        <v>566.25</v>
      </c>
      <c r="J837" s="490">
        <f t="shared" si="27"/>
        <v>966.25</v>
      </c>
      <c r="K837" s="327"/>
      <c r="L837" s="328"/>
    </row>
    <row r="838" spans="1:12" ht="20.25" customHeight="1" x14ac:dyDescent="0.2">
      <c r="A838" s="114">
        <v>834</v>
      </c>
      <c r="B838" s="1" t="s">
        <v>4418</v>
      </c>
      <c r="C838" s="6" t="s">
        <v>4419</v>
      </c>
      <c r="D838" s="7" t="s">
        <v>4420</v>
      </c>
      <c r="E838" s="2" t="s">
        <v>4417</v>
      </c>
      <c r="F838" s="99" t="s">
        <v>11</v>
      </c>
      <c r="G838" s="121">
        <v>150</v>
      </c>
      <c r="H838" s="122">
        <f t="shared" si="28"/>
        <v>350</v>
      </c>
      <c r="I838" s="450">
        <f>+(930+1335)/4</f>
        <v>566.25</v>
      </c>
      <c r="J838" s="491">
        <f t="shared" si="27"/>
        <v>916.25</v>
      </c>
      <c r="K838" s="323"/>
      <c r="L838" s="324"/>
    </row>
    <row r="839" spans="1:12" ht="20.25" customHeight="1" x14ac:dyDescent="0.2">
      <c r="A839" s="118">
        <v>835</v>
      </c>
      <c r="B839" s="49" t="s">
        <v>4421</v>
      </c>
      <c r="C839" s="43" t="s">
        <v>3935</v>
      </c>
      <c r="D839" s="42" t="s">
        <v>4422</v>
      </c>
      <c r="E839" s="44" t="s">
        <v>4417</v>
      </c>
      <c r="F839" s="103" t="s">
        <v>14</v>
      </c>
      <c r="G839" s="133">
        <v>150</v>
      </c>
      <c r="H839" s="134">
        <f t="shared" si="28"/>
        <v>350</v>
      </c>
      <c r="I839" s="297">
        <f>+(930+1335)/4</f>
        <v>566.25</v>
      </c>
      <c r="J839" s="501">
        <f t="shared" si="27"/>
        <v>916.25</v>
      </c>
      <c r="K839" s="342" t="s">
        <v>4999</v>
      </c>
      <c r="L839" s="343">
        <v>2400</v>
      </c>
    </row>
    <row r="840" spans="1:12" ht="20.25" customHeight="1" thickBot="1" x14ac:dyDescent="0.25">
      <c r="A840" s="158">
        <v>836</v>
      </c>
      <c r="B840" s="159" t="s">
        <v>4423</v>
      </c>
      <c r="C840" s="160" t="s">
        <v>4424</v>
      </c>
      <c r="D840" s="161" t="s">
        <v>4425</v>
      </c>
      <c r="E840" s="162" t="s">
        <v>4417</v>
      </c>
      <c r="F840" s="163" t="s">
        <v>17</v>
      </c>
      <c r="G840" s="164">
        <v>100</v>
      </c>
      <c r="H840" s="153">
        <f t="shared" si="28"/>
        <v>400</v>
      </c>
      <c r="I840" s="451">
        <f>+(930+1335)/4</f>
        <v>566.25</v>
      </c>
      <c r="J840" s="492">
        <f t="shared" si="27"/>
        <v>966.25</v>
      </c>
      <c r="K840" s="325"/>
      <c r="L840" s="326"/>
    </row>
    <row r="841" spans="1:12" ht="20.25" customHeight="1" x14ac:dyDescent="0.2">
      <c r="A841" s="108">
        <v>837</v>
      </c>
      <c r="B841" s="171" t="s">
        <v>4426</v>
      </c>
      <c r="C841" s="110" t="s">
        <v>2715</v>
      </c>
      <c r="D841" s="111" t="s">
        <v>4427</v>
      </c>
      <c r="E841" s="112" t="s">
        <v>4428</v>
      </c>
      <c r="F841" s="113" t="s">
        <v>8</v>
      </c>
      <c r="G841" s="119">
        <v>500</v>
      </c>
      <c r="H841" s="466">
        <v>0</v>
      </c>
      <c r="I841" s="452">
        <f>+(1300+965)/4</f>
        <v>566.25</v>
      </c>
      <c r="J841" s="490">
        <f t="shared" si="27"/>
        <v>566.25</v>
      </c>
      <c r="K841" s="327"/>
      <c r="L841" s="328"/>
    </row>
    <row r="842" spans="1:12" ht="20.25" customHeight="1" x14ac:dyDescent="0.2">
      <c r="A842" s="114">
        <v>838</v>
      </c>
      <c r="B842" s="1" t="s">
        <v>4429</v>
      </c>
      <c r="C842" s="6" t="s">
        <v>4430</v>
      </c>
      <c r="D842" s="7" t="s">
        <v>4431</v>
      </c>
      <c r="E842" s="2" t="s">
        <v>4428</v>
      </c>
      <c r="F842" s="99" t="s">
        <v>11</v>
      </c>
      <c r="G842" s="121">
        <v>500</v>
      </c>
      <c r="H842" s="467">
        <v>0</v>
      </c>
      <c r="I842" s="450">
        <f>+(1300+965)/4</f>
        <v>566.25</v>
      </c>
      <c r="J842" s="491">
        <f t="shared" si="27"/>
        <v>566.25</v>
      </c>
      <c r="K842" s="323"/>
      <c r="L842" s="324"/>
    </row>
    <row r="843" spans="1:12" ht="20.25" customHeight="1" x14ac:dyDescent="0.2">
      <c r="A843" s="114">
        <v>839</v>
      </c>
      <c r="B843" s="1" t="s">
        <v>4432</v>
      </c>
      <c r="C843" s="6" t="s">
        <v>4433</v>
      </c>
      <c r="D843" s="7" t="s">
        <v>4434</v>
      </c>
      <c r="E843" s="2" t="s">
        <v>4428</v>
      </c>
      <c r="F843" s="99" t="s">
        <v>14</v>
      </c>
      <c r="G843" s="121">
        <v>500</v>
      </c>
      <c r="H843" s="467">
        <v>0</v>
      </c>
      <c r="I843" s="450">
        <f>+(1300+965)/4</f>
        <v>566.25</v>
      </c>
      <c r="J843" s="491">
        <f t="shared" si="27"/>
        <v>566.25</v>
      </c>
      <c r="K843" s="323"/>
      <c r="L843" s="324"/>
    </row>
    <row r="844" spans="1:12" ht="20.25" customHeight="1" thickBot="1" x14ac:dyDescent="0.25">
      <c r="A844" s="158">
        <v>840</v>
      </c>
      <c r="B844" s="159" t="s">
        <v>4435</v>
      </c>
      <c r="C844" s="160" t="s">
        <v>4436</v>
      </c>
      <c r="D844" s="161" t="s">
        <v>4437</v>
      </c>
      <c r="E844" s="162" t="s">
        <v>4428</v>
      </c>
      <c r="F844" s="163" t="s">
        <v>17</v>
      </c>
      <c r="G844" s="164">
        <v>500</v>
      </c>
      <c r="H844" s="468">
        <v>0</v>
      </c>
      <c r="I844" s="451">
        <f>+(1300+965)/4</f>
        <v>566.25</v>
      </c>
      <c r="J844" s="492">
        <f t="shared" si="27"/>
        <v>566.25</v>
      </c>
      <c r="K844" s="325"/>
      <c r="L844" s="326"/>
    </row>
    <row r="845" spans="1:12" ht="20.25" customHeight="1" x14ac:dyDescent="0.2">
      <c r="A845" s="108">
        <v>841</v>
      </c>
      <c r="B845" s="171" t="s">
        <v>4438</v>
      </c>
      <c r="C845" s="110" t="s">
        <v>3295</v>
      </c>
      <c r="D845" s="111" t="s">
        <v>4439</v>
      </c>
      <c r="E845" s="112" t="s">
        <v>4440</v>
      </c>
      <c r="F845" s="113" t="s">
        <v>8</v>
      </c>
      <c r="G845" s="119">
        <v>100</v>
      </c>
      <c r="H845" s="120">
        <f>500-G845</f>
        <v>400</v>
      </c>
      <c r="I845" s="452">
        <f>+(940+655)/4</f>
        <v>398.75</v>
      </c>
      <c r="J845" s="490">
        <f t="shared" si="27"/>
        <v>798.75</v>
      </c>
      <c r="K845" s="327"/>
      <c r="L845" s="328"/>
    </row>
    <row r="846" spans="1:12" ht="20.25" customHeight="1" x14ac:dyDescent="0.2">
      <c r="A846" s="114">
        <v>842</v>
      </c>
      <c r="B846" s="1" t="s">
        <v>4441</v>
      </c>
      <c r="C846" s="6" t="s">
        <v>2830</v>
      </c>
      <c r="D846" s="7" t="s">
        <v>4442</v>
      </c>
      <c r="E846" s="2" t="s">
        <v>4440</v>
      </c>
      <c r="F846" s="99" t="s">
        <v>11</v>
      </c>
      <c r="G846" s="121">
        <v>100</v>
      </c>
      <c r="H846" s="122">
        <f t="shared" si="28"/>
        <v>400</v>
      </c>
      <c r="I846" s="450">
        <f>+(940+655)/4</f>
        <v>398.75</v>
      </c>
      <c r="J846" s="491">
        <f t="shared" si="27"/>
        <v>798.75</v>
      </c>
      <c r="K846" s="323"/>
      <c r="L846" s="324"/>
    </row>
    <row r="847" spans="1:12" ht="20.25" customHeight="1" x14ac:dyDescent="0.2">
      <c r="A847" s="114">
        <v>843</v>
      </c>
      <c r="B847" s="1" t="s">
        <v>4443</v>
      </c>
      <c r="C847" s="6" t="s">
        <v>4444</v>
      </c>
      <c r="D847" s="7" t="s">
        <v>4445</v>
      </c>
      <c r="E847" s="2" t="s">
        <v>4440</v>
      </c>
      <c r="F847" s="99" t="s">
        <v>14</v>
      </c>
      <c r="G847" s="121">
        <v>100</v>
      </c>
      <c r="H847" s="122">
        <f t="shared" si="28"/>
        <v>400</v>
      </c>
      <c r="I847" s="450">
        <f>+(940+655)/4</f>
        <v>398.75</v>
      </c>
      <c r="J847" s="491">
        <f t="shared" si="27"/>
        <v>798.75</v>
      </c>
      <c r="K847" s="323"/>
      <c r="L847" s="324"/>
    </row>
    <row r="848" spans="1:12" ht="20.25" customHeight="1" thickBot="1" x14ac:dyDescent="0.25">
      <c r="A848" s="158">
        <v>844</v>
      </c>
      <c r="B848" s="159" t="s">
        <v>4446</v>
      </c>
      <c r="C848" s="160" t="s">
        <v>4447</v>
      </c>
      <c r="D848" s="161" t="s">
        <v>4448</v>
      </c>
      <c r="E848" s="162" t="s">
        <v>4440</v>
      </c>
      <c r="F848" s="163" t="s">
        <v>17</v>
      </c>
      <c r="G848" s="164">
        <v>100</v>
      </c>
      <c r="H848" s="153">
        <f t="shared" si="28"/>
        <v>400</v>
      </c>
      <c r="I848" s="451">
        <f>+(940+655)/4</f>
        <v>398.75</v>
      </c>
      <c r="J848" s="492">
        <f t="shared" si="27"/>
        <v>798.75</v>
      </c>
      <c r="K848" s="325"/>
      <c r="L848" s="326"/>
    </row>
    <row r="849" spans="1:12" ht="20.25" customHeight="1" x14ac:dyDescent="0.2">
      <c r="A849" s="108">
        <v>845</v>
      </c>
      <c r="B849" s="171" t="s">
        <v>4449</v>
      </c>
      <c r="C849" s="110" t="s">
        <v>4450</v>
      </c>
      <c r="D849" s="111" t="s">
        <v>4451</v>
      </c>
      <c r="E849" s="112" t="s">
        <v>4452</v>
      </c>
      <c r="F849" s="113" t="s">
        <v>8</v>
      </c>
      <c r="G849" s="119">
        <v>100</v>
      </c>
      <c r="H849" s="120">
        <f t="shared" si="28"/>
        <v>400</v>
      </c>
      <c r="I849" s="452">
        <f>+(0+45)/4</f>
        <v>11.25</v>
      </c>
      <c r="J849" s="490">
        <f t="shared" ref="J849:J912" si="29">SUM(H849:I849)</f>
        <v>411.25</v>
      </c>
      <c r="K849" s="327"/>
      <c r="L849" s="328"/>
    </row>
    <row r="850" spans="1:12" ht="20.25" customHeight="1" x14ac:dyDescent="0.2">
      <c r="A850" s="114">
        <v>846</v>
      </c>
      <c r="B850" s="1" t="s">
        <v>4453</v>
      </c>
      <c r="C850" s="6" t="s">
        <v>4454</v>
      </c>
      <c r="D850" s="7" t="s">
        <v>4455</v>
      </c>
      <c r="E850" s="2" t="s">
        <v>4452</v>
      </c>
      <c r="F850" s="99" t="s">
        <v>11</v>
      </c>
      <c r="G850" s="121">
        <v>100</v>
      </c>
      <c r="H850" s="122">
        <f t="shared" si="28"/>
        <v>400</v>
      </c>
      <c r="I850" s="450">
        <f>+(0+45)/4</f>
        <v>11.25</v>
      </c>
      <c r="J850" s="491">
        <f t="shared" si="29"/>
        <v>411.25</v>
      </c>
      <c r="K850" s="323"/>
      <c r="L850" s="324"/>
    </row>
    <row r="851" spans="1:12" s="37" customFormat="1" ht="20.25" customHeight="1" x14ac:dyDescent="0.2">
      <c r="A851" s="116">
        <v>847</v>
      </c>
      <c r="B851" s="46" t="s">
        <v>4456</v>
      </c>
      <c r="C851" s="29" t="s">
        <v>4457</v>
      </c>
      <c r="D851" s="28" t="s">
        <v>4458</v>
      </c>
      <c r="E851" s="30" t="s">
        <v>4452</v>
      </c>
      <c r="F851" s="73" t="s">
        <v>14</v>
      </c>
      <c r="G851" s="126">
        <v>100</v>
      </c>
      <c r="H851" s="127">
        <f t="shared" si="28"/>
        <v>400</v>
      </c>
      <c r="I851" s="294">
        <f>+(0+45)/4</f>
        <v>11.25</v>
      </c>
      <c r="J851" s="497">
        <f t="shared" si="29"/>
        <v>411.25</v>
      </c>
      <c r="K851" s="333" t="s">
        <v>4996</v>
      </c>
      <c r="L851" s="334">
        <v>6280</v>
      </c>
    </row>
    <row r="852" spans="1:12" ht="20.25" customHeight="1" thickBot="1" x14ac:dyDescent="0.25">
      <c r="A852" s="158">
        <v>848</v>
      </c>
      <c r="B852" s="159" t="s">
        <v>4459</v>
      </c>
      <c r="C852" s="160" t="s">
        <v>4460</v>
      </c>
      <c r="D852" s="161" t="s">
        <v>4461</v>
      </c>
      <c r="E852" s="162" t="s">
        <v>4452</v>
      </c>
      <c r="F852" s="163" t="s">
        <v>17</v>
      </c>
      <c r="G852" s="164">
        <v>100</v>
      </c>
      <c r="H852" s="153">
        <f t="shared" si="28"/>
        <v>400</v>
      </c>
      <c r="I852" s="451">
        <f>+(0+45)/4</f>
        <v>11.25</v>
      </c>
      <c r="J852" s="492">
        <f t="shared" si="29"/>
        <v>411.25</v>
      </c>
      <c r="K852" s="325"/>
      <c r="L852" s="326"/>
    </row>
    <row r="853" spans="1:12" ht="20.25" customHeight="1" x14ac:dyDescent="0.2">
      <c r="A853" s="108">
        <v>849</v>
      </c>
      <c r="B853" s="171" t="s">
        <v>4462</v>
      </c>
      <c r="C853" s="110" t="s">
        <v>4222</v>
      </c>
      <c r="D853" s="111" t="s">
        <v>4463</v>
      </c>
      <c r="E853" s="112" t="s">
        <v>4464</v>
      </c>
      <c r="F853" s="113" t="s">
        <v>8</v>
      </c>
      <c r="G853" s="119">
        <v>150</v>
      </c>
      <c r="H853" s="120">
        <f t="shared" si="28"/>
        <v>350</v>
      </c>
      <c r="I853" s="452">
        <f>+(1360+1625)/4</f>
        <v>746.25</v>
      </c>
      <c r="J853" s="490">
        <f t="shared" si="29"/>
        <v>1096.25</v>
      </c>
      <c r="K853" s="327"/>
      <c r="L853" s="328"/>
    </row>
    <row r="854" spans="1:12" ht="20.25" customHeight="1" x14ac:dyDescent="0.2">
      <c r="A854" s="114">
        <v>850</v>
      </c>
      <c r="B854" s="1" t="s">
        <v>4465</v>
      </c>
      <c r="C854" s="6" t="s">
        <v>2146</v>
      </c>
      <c r="D854" s="7" t="s">
        <v>4466</v>
      </c>
      <c r="E854" s="2" t="s">
        <v>4464</v>
      </c>
      <c r="F854" s="99" t="s">
        <v>11</v>
      </c>
      <c r="G854" s="121">
        <v>100</v>
      </c>
      <c r="H854" s="122">
        <f t="shared" si="28"/>
        <v>400</v>
      </c>
      <c r="I854" s="450">
        <f>+(1360+1625)/4</f>
        <v>746.25</v>
      </c>
      <c r="J854" s="491">
        <f t="shared" si="29"/>
        <v>1146.25</v>
      </c>
      <c r="K854" s="323"/>
      <c r="L854" s="324"/>
    </row>
    <row r="855" spans="1:12" ht="20.25" customHeight="1" x14ac:dyDescent="0.2">
      <c r="A855" s="114">
        <v>851</v>
      </c>
      <c r="B855" s="1" t="s">
        <v>4467</v>
      </c>
      <c r="C855" s="6" t="s">
        <v>4468</v>
      </c>
      <c r="D855" s="7" t="s">
        <v>4469</v>
      </c>
      <c r="E855" s="2" t="s">
        <v>4464</v>
      </c>
      <c r="F855" s="99" t="s">
        <v>14</v>
      </c>
      <c r="G855" s="121">
        <v>50</v>
      </c>
      <c r="H855" s="122">
        <f t="shared" si="28"/>
        <v>450</v>
      </c>
      <c r="I855" s="450">
        <f>+(1360+1625)/4</f>
        <v>746.25</v>
      </c>
      <c r="J855" s="491">
        <f t="shared" si="29"/>
        <v>1196.25</v>
      </c>
      <c r="K855" s="323"/>
      <c r="L855" s="324"/>
    </row>
    <row r="856" spans="1:12" ht="20.25" customHeight="1" thickBot="1" x14ac:dyDescent="0.25">
      <c r="A856" s="158">
        <v>852</v>
      </c>
      <c r="B856" s="159" t="s">
        <v>4470</v>
      </c>
      <c r="C856" s="160" t="s">
        <v>4471</v>
      </c>
      <c r="D856" s="161" t="s">
        <v>4472</v>
      </c>
      <c r="E856" s="162" t="s">
        <v>4464</v>
      </c>
      <c r="F856" s="163" t="s">
        <v>17</v>
      </c>
      <c r="G856" s="164">
        <v>50</v>
      </c>
      <c r="H856" s="153">
        <f t="shared" si="28"/>
        <v>450</v>
      </c>
      <c r="I856" s="451">
        <f>+(1360+1625)/4</f>
        <v>746.25</v>
      </c>
      <c r="J856" s="492">
        <f t="shared" si="29"/>
        <v>1196.25</v>
      </c>
      <c r="K856" s="325"/>
      <c r="L856" s="326"/>
    </row>
    <row r="857" spans="1:12" ht="20.25" customHeight="1" x14ac:dyDescent="0.2">
      <c r="A857" s="108">
        <v>853</v>
      </c>
      <c r="B857" s="174" t="s">
        <v>4473</v>
      </c>
      <c r="C857" s="175" t="s">
        <v>4474</v>
      </c>
      <c r="D857" s="176" t="s">
        <v>4475</v>
      </c>
      <c r="E857" s="177" t="s">
        <v>4476</v>
      </c>
      <c r="F857" s="178" t="s">
        <v>8</v>
      </c>
      <c r="G857" s="179">
        <v>100</v>
      </c>
      <c r="H857" s="120">
        <f t="shared" si="28"/>
        <v>400</v>
      </c>
      <c r="I857" s="452">
        <f>+(0+750)/4</f>
        <v>187.5</v>
      </c>
      <c r="J857" s="490">
        <f t="shared" si="29"/>
        <v>587.5</v>
      </c>
      <c r="K857" s="327"/>
      <c r="L857" s="328"/>
    </row>
    <row r="858" spans="1:12" ht="20.25" customHeight="1" x14ac:dyDescent="0.2">
      <c r="A858" s="114">
        <v>854</v>
      </c>
      <c r="B858" s="47" t="s">
        <v>4477</v>
      </c>
      <c r="C858" s="10" t="s">
        <v>4478</v>
      </c>
      <c r="D858" s="11" t="s">
        <v>4479</v>
      </c>
      <c r="E858" s="5" t="s">
        <v>4476</v>
      </c>
      <c r="F858" s="100" t="s">
        <v>11</v>
      </c>
      <c r="G858" s="125">
        <v>100</v>
      </c>
      <c r="H858" s="122">
        <f t="shared" si="28"/>
        <v>400</v>
      </c>
      <c r="I858" s="450">
        <f>+(0+750)/4</f>
        <v>187.5</v>
      </c>
      <c r="J858" s="491">
        <f t="shared" si="29"/>
        <v>587.5</v>
      </c>
      <c r="K858" s="323"/>
      <c r="L858" s="324"/>
    </row>
    <row r="859" spans="1:12" ht="20.25" customHeight="1" x14ac:dyDescent="0.2">
      <c r="A859" s="114">
        <v>855</v>
      </c>
      <c r="B859" s="47" t="s">
        <v>4480</v>
      </c>
      <c r="C859" s="10" t="s">
        <v>4481</v>
      </c>
      <c r="D859" s="11" t="s">
        <v>4482</v>
      </c>
      <c r="E859" s="5" t="s">
        <v>4476</v>
      </c>
      <c r="F859" s="100" t="s">
        <v>14</v>
      </c>
      <c r="G859" s="125">
        <v>100</v>
      </c>
      <c r="H859" s="122">
        <f t="shared" si="28"/>
        <v>400</v>
      </c>
      <c r="I859" s="450">
        <f>+(0+750)/4</f>
        <v>187.5</v>
      </c>
      <c r="J859" s="491">
        <f t="shared" si="29"/>
        <v>587.5</v>
      </c>
      <c r="K859" s="323"/>
      <c r="L859" s="324"/>
    </row>
    <row r="860" spans="1:12" ht="20.25" customHeight="1" thickBot="1" x14ac:dyDescent="0.25">
      <c r="A860" s="158">
        <v>856</v>
      </c>
      <c r="B860" s="192" t="s">
        <v>4944</v>
      </c>
      <c r="C860" s="193" t="s">
        <v>4942</v>
      </c>
      <c r="D860" s="194" t="s">
        <v>4943</v>
      </c>
      <c r="E860" s="195" t="s">
        <v>4476</v>
      </c>
      <c r="F860" s="196" t="s">
        <v>17</v>
      </c>
      <c r="G860" s="197">
        <v>50</v>
      </c>
      <c r="H860" s="153">
        <f t="shared" si="28"/>
        <v>450</v>
      </c>
      <c r="I860" s="451">
        <f>+(0+750)/4</f>
        <v>187.5</v>
      </c>
      <c r="J860" s="492">
        <f t="shared" si="29"/>
        <v>637.5</v>
      </c>
      <c r="K860" s="325"/>
      <c r="L860" s="326"/>
    </row>
    <row r="861" spans="1:12" ht="20.25" customHeight="1" x14ac:dyDescent="0.2">
      <c r="A861" s="108">
        <v>857</v>
      </c>
      <c r="B861" s="174" t="s">
        <v>4483</v>
      </c>
      <c r="C861" s="175" t="s">
        <v>2321</v>
      </c>
      <c r="D861" s="176" t="s">
        <v>2895</v>
      </c>
      <c r="E861" s="177" t="s">
        <v>4484</v>
      </c>
      <c r="F861" s="178" t="s">
        <v>8</v>
      </c>
      <c r="G861" s="179">
        <v>100</v>
      </c>
      <c r="H861" s="120">
        <f t="shared" si="28"/>
        <v>400</v>
      </c>
      <c r="I861" s="452">
        <f>+(0+75)/4</f>
        <v>18.75</v>
      </c>
      <c r="J861" s="490">
        <f t="shared" si="29"/>
        <v>418.75</v>
      </c>
      <c r="K861" s="327"/>
      <c r="L861" s="328"/>
    </row>
    <row r="862" spans="1:12" ht="20.25" customHeight="1" x14ac:dyDescent="0.2">
      <c r="A862" s="114">
        <v>858</v>
      </c>
      <c r="B862" s="47" t="s">
        <v>4485</v>
      </c>
      <c r="C862" s="10" t="s">
        <v>2899</v>
      </c>
      <c r="D862" s="11" t="s">
        <v>4486</v>
      </c>
      <c r="E862" s="5" t="s">
        <v>4484</v>
      </c>
      <c r="F862" s="100" t="s">
        <v>11</v>
      </c>
      <c r="G862" s="125">
        <v>50</v>
      </c>
      <c r="H862" s="122">
        <f t="shared" si="28"/>
        <v>450</v>
      </c>
      <c r="I862" s="450">
        <f>+(0+75)/4</f>
        <v>18.75</v>
      </c>
      <c r="J862" s="491">
        <f t="shared" si="29"/>
        <v>468.75</v>
      </c>
      <c r="K862" s="323"/>
      <c r="L862" s="324"/>
    </row>
    <row r="863" spans="1:12" ht="20.25" customHeight="1" x14ac:dyDescent="0.2">
      <c r="A863" s="114">
        <v>859</v>
      </c>
      <c r="B863" s="1" t="s">
        <v>4487</v>
      </c>
      <c r="C863" s="6" t="s">
        <v>4488</v>
      </c>
      <c r="D863" s="7" t="s">
        <v>4489</v>
      </c>
      <c r="E863" s="2" t="s">
        <v>4484</v>
      </c>
      <c r="F863" s="99" t="s">
        <v>14</v>
      </c>
      <c r="G863" s="121">
        <v>50</v>
      </c>
      <c r="H863" s="122">
        <f t="shared" si="28"/>
        <v>450</v>
      </c>
      <c r="I863" s="450">
        <f>+(0+75)/4</f>
        <v>18.75</v>
      </c>
      <c r="J863" s="491">
        <f t="shared" si="29"/>
        <v>468.75</v>
      </c>
      <c r="K863" s="323"/>
      <c r="L863" s="324"/>
    </row>
    <row r="864" spans="1:12" ht="20.25" customHeight="1" thickBot="1" x14ac:dyDescent="0.25">
      <c r="A864" s="158">
        <v>860</v>
      </c>
      <c r="B864" s="159" t="s">
        <v>4490</v>
      </c>
      <c r="C864" s="160" t="s">
        <v>4491</v>
      </c>
      <c r="D864" s="161" t="s">
        <v>4492</v>
      </c>
      <c r="E864" s="162" t="s">
        <v>4484</v>
      </c>
      <c r="F864" s="163" t="s">
        <v>17</v>
      </c>
      <c r="G864" s="164">
        <v>100</v>
      </c>
      <c r="H864" s="153">
        <f t="shared" si="28"/>
        <v>400</v>
      </c>
      <c r="I864" s="451">
        <f>+(0+75)/4</f>
        <v>18.75</v>
      </c>
      <c r="J864" s="492">
        <f t="shared" si="29"/>
        <v>418.75</v>
      </c>
      <c r="K864" s="325"/>
      <c r="L864" s="326"/>
    </row>
    <row r="865" spans="1:12" ht="20.25" customHeight="1" x14ac:dyDescent="0.2">
      <c r="A865" s="108">
        <v>861</v>
      </c>
      <c r="B865" s="171" t="s">
        <v>4493</v>
      </c>
      <c r="C865" s="110" t="s">
        <v>2922</v>
      </c>
      <c r="D865" s="111" t="s">
        <v>4494</v>
      </c>
      <c r="E865" s="112" t="s">
        <v>4495</v>
      </c>
      <c r="F865" s="113" t="s">
        <v>8</v>
      </c>
      <c r="G865" s="119">
        <v>50</v>
      </c>
      <c r="H865" s="120">
        <f t="shared" si="28"/>
        <v>450</v>
      </c>
      <c r="I865" s="452">
        <f>+(0+0)/4</f>
        <v>0</v>
      </c>
      <c r="J865" s="490">
        <f t="shared" si="29"/>
        <v>450</v>
      </c>
      <c r="K865" s="327"/>
      <c r="L865" s="328"/>
    </row>
    <row r="866" spans="1:12" ht="20.25" customHeight="1" x14ac:dyDescent="0.2">
      <c r="A866" s="114">
        <v>862</v>
      </c>
      <c r="B866" s="1" t="s">
        <v>4496</v>
      </c>
      <c r="C866" s="6" t="s">
        <v>4497</v>
      </c>
      <c r="D866" s="7" t="s">
        <v>4498</v>
      </c>
      <c r="E866" s="2" t="s">
        <v>4495</v>
      </c>
      <c r="F866" s="99" t="s">
        <v>11</v>
      </c>
      <c r="G866" s="121">
        <v>50</v>
      </c>
      <c r="H866" s="122">
        <f t="shared" si="28"/>
        <v>450</v>
      </c>
      <c r="I866" s="450">
        <f>+(0+0)/4</f>
        <v>0</v>
      </c>
      <c r="J866" s="491">
        <f t="shared" si="29"/>
        <v>450</v>
      </c>
      <c r="K866" s="323"/>
      <c r="L866" s="324"/>
    </row>
    <row r="867" spans="1:12" ht="20.25" customHeight="1" x14ac:dyDescent="0.2">
      <c r="A867" s="114">
        <v>863</v>
      </c>
      <c r="B867" s="1" t="s">
        <v>4499</v>
      </c>
      <c r="C867" s="6" t="s">
        <v>2174</v>
      </c>
      <c r="D867" s="7" t="s">
        <v>4500</v>
      </c>
      <c r="E867" s="2" t="s">
        <v>4495</v>
      </c>
      <c r="F867" s="99" t="s">
        <v>14</v>
      </c>
      <c r="G867" s="121">
        <v>50</v>
      </c>
      <c r="H867" s="122">
        <f t="shared" si="28"/>
        <v>450</v>
      </c>
      <c r="I867" s="450">
        <f>+(0+0)/4</f>
        <v>0</v>
      </c>
      <c r="J867" s="491">
        <f t="shared" si="29"/>
        <v>450</v>
      </c>
      <c r="K867" s="323"/>
      <c r="L867" s="324"/>
    </row>
    <row r="868" spans="1:12" ht="20.25" customHeight="1" thickBot="1" x14ac:dyDescent="0.25">
      <c r="A868" s="158">
        <v>864</v>
      </c>
      <c r="B868" s="159" t="s">
        <v>4501</v>
      </c>
      <c r="C868" s="160" t="s">
        <v>4502</v>
      </c>
      <c r="D868" s="161" t="s">
        <v>4503</v>
      </c>
      <c r="E868" s="162" t="s">
        <v>4495</v>
      </c>
      <c r="F868" s="163" t="s">
        <v>17</v>
      </c>
      <c r="G868" s="164">
        <v>50</v>
      </c>
      <c r="H868" s="153">
        <f t="shared" si="28"/>
        <v>450</v>
      </c>
      <c r="I868" s="451">
        <f>+(0+0)/4</f>
        <v>0</v>
      </c>
      <c r="J868" s="492">
        <f t="shared" si="29"/>
        <v>450</v>
      </c>
      <c r="K868" s="325"/>
      <c r="L868" s="326"/>
    </row>
    <row r="869" spans="1:12" ht="20.25" customHeight="1" x14ac:dyDescent="0.2">
      <c r="A869" s="298">
        <v>865</v>
      </c>
      <c r="B869" s="166" t="s">
        <v>4504</v>
      </c>
      <c r="C869" s="299" t="s">
        <v>4505</v>
      </c>
      <c r="D869" s="300" t="s">
        <v>4506</v>
      </c>
      <c r="E869" s="301" t="s">
        <v>4507</v>
      </c>
      <c r="F869" s="302" t="s">
        <v>8</v>
      </c>
      <c r="G869" s="469">
        <v>100</v>
      </c>
      <c r="H869" s="470">
        <f t="shared" si="28"/>
        <v>400</v>
      </c>
      <c r="I869" s="471">
        <f>+(0-1346)/4</f>
        <v>-336.5</v>
      </c>
      <c r="J869" s="502">
        <f t="shared" si="29"/>
        <v>63.5</v>
      </c>
      <c r="K869" s="344"/>
      <c r="L869" s="345"/>
    </row>
    <row r="870" spans="1:12" ht="20.25" customHeight="1" x14ac:dyDescent="0.2">
      <c r="A870" s="303">
        <v>866</v>
      </c>
      <c r="B870" s="46" t="s">
        <v>4508</v>
      </c>
      <c r="C870" s="91" t="s">
        <v>4509</v>
      </c>
      <c r="D870" s="92" t="s">
        <v>4510</v>
      </c>
      <c r="E870" s="93" t="s">
        <v>4507</v>
      </c>
      <c r="F870" s="104" t="s">
        <v>11</v>
      </c>
      <c r="G870" s="135">
        <v>100</v>
      </c>
      <c r="H870" s="136">
        <f t="shared" si="28"/>
        <v>400</v>
      </c>
      <c r="I870" s="472">
        <f>+(0-1346)/4</f>
        <v>-336.5</v>
      </c>
      <c r="J870" s="503">
        <f t="shared" si="29"/>
        <v>63.5</v>
      </c>
      <c r="K870" s="346"/>
      <c r="L870" s="334"/>
    </row>
    <row r="871" spans="1:12" ht="20.25" customHeight="1" x14ac:dyDescent="0.2">
      <c r="A871" s="303">
        <v>867</v>
      </c>
      <c r="B871" s="46" t="s">
        <v>4511</v>
      </c>
      <c r="C871" s="91" t="s">
        <v>4512</v>
      </c>
      <c r="D871" s="92" t="s">
        <v>540</v>
      </c>
      <c r="E871" s="93" t="s">
        <v>4507</v>
      </c>
      <c r="F871" s="104" t="s">
        <v>14</v>
      </c>
      <c r="G871" s="135">
        <v>100</v>
      </c>
      <c r="H871" s="136">
        <f t="shared" si="28"/>
        <v>400</v>
      </c>
      <c r="I871" s="472">
        <f>+(0-1346)/4</f>
        <v>-336.5</v>
      </c>
      <c r="J871" s="503">
        <f t="shared" si="29"/>
        <v>63.5</v>
      </c>
      <c r="K871" s="333"/>
      <c r="L871" s="334"/>
    </row>
    <row r="872" spans="1:12" ht="20.25" customHeight="1" thickBot="1" x14ac:dyDescent="0.25">
      <c r="A872" s="304">
        <v>868</v>
      </c>
      <c r="B872" s="148" t="s">
        <v>4513</v>
      </c>
      <c r="C872" s="305" t="s">
        <v>4514</v>
      </c>
      <c r="D872" s="306" t="s">
        <v>4515</v>
      </c>
      <c r="E872" s="307" t="s">
        <v>4507</v>
      </c>
      <c r="F872" s="308" t="s">
        <v>17</v>
      </c>
      <c r="G872" s="473">
        <v>150</v>
      </c>
      <c r="H872" s="474">
        <f t="shared" si="28"/>
        <v>350</v>
      </c>
      <c r="I872" s="475">
        <f>+(0-1346)/4</f>
        <v>-336.5</v>
      </c>
      <c r="J872" s="504">
        <f t="shared" si="29"/>
        <v>13.5</v>
      </c>
      <c r="K872" s="331"/>
      <c r="L872" s="332"/>
    </row>
    <row r="873" spans="1:12" ht="20.25" customHeight="1" x14ac:dyDescent="0.2">
      <c r="A873" s="108">
        <v>869</v>
      </c>
      <c r="B873" s="171" t="s">
        <v>4516</v>
      </c>
      <c r="C873" s="110" t="s">
        <v>4517</v>
      </c>
      <c r="D873" s="111" t="s">
        <v>4518</v>
      </c>
      <c r="E873" s="112" t="s">
        <v>4519</v>
      </c>
      <c r="F873" s="113" t="s">
        <v>8</v>
      </c>
      <c r="G873" s="119">
        <v>50</v>
      </c>
      <c r="H873" s="120">
        <f t="shared" si="28"/>
        <v>450</v>
      </c>
      <c r="I873" s="452">
        <f t="shared" ref="I873:I880" si="30">+(0+0)/4</f>
        <v>0</v>
      </c>
      <c r="J873" s="490">
        <f t="shared" si="29"/>
        <v>450</v>
      </c>
      <c r="K873" s="327"/>
      <c r="L873" s="328"/>
    </row>
    <row r="874" spans="1:12" ht="20.25" customHeight="1" x14ac:dyDescent="0.2">
      <c r="A874" s="114">
        <v>870</v>
      </c>
      <c r="B874" s="1" t="s">
        <v>4520</v>
      </c>
      <c r="C874" s="6" t="s">
        <v>4521</v>
      </c>
      <c r="D874" s="7" t="s">
        <v>4522</v>
      </c>
      <c r="E874" s="2" t="s">
        <v>4519</v>
      </c>
      <c r="F874" s="99" t="s">
        <v>11</v>
      </c>
      <c r="G874" s="121">
        <v>50</v>
      </c>
      <c r="H874" s="122">
        <f t="shared" si="28"/>
        <v>450</v>
      </c>
      <c r="I874" s="450">
        <f t="shared" si="30"/>
        <v>0</v>
      </c>
      <c r="J874" s="491">
        <f t="shared" si="29"/>
        <v>450</v>
      </c>
      <c r="K874" s="323"/>
      <c r="L874" s="324"/>
    </row>
    <row r="875" spans="1:12" ht="20.25" customHeight="1" x14ac:dyDescent="0.2">
      <c r="A875" s="114">
        <v>871</v>
      </c>
      <c r="B875" s="1" t="s">
        <v>4523</v>
      </c>
      <c r="C875" s="6" t="s">
        <v>4524</v>
      </c>
      <c r="D875" s="7" t="s">
        <v>4525</v>
      </c>
      <c r="E875" s="2" t="s">
        <v>4519</v>
      </c>
      <c r="F875" s="99" t="s">
        <v>14</v>
      </c>
      <c r="G875" s="121">
        <v>100</v>
      </c>
      <c r="H875" s="122">
        <f t="shared" si="28"/>
        <v>400</v>
      </c>
      <c r="I875" s="450">
        <f t="shared" si="30"/>
        <v>0</v>
      </c>
      <c r="J875" s="491">
        <f t="shared" si="29"/>
        <v>400</v>
      </c>
      <c r="K875" s="323"/>
      <c r="L875" s="324"/>
    </row>
    <row r="876" spans="1:12" ht="20.25" customHeight="1" thickBot="1" x14ac:dyDescent="0.25">
      <c r="A876" s="158">
        <v>872</v>
      </c>
      <c r="B876" s="159" t="s">
        <v>4526</v>
      </c>
      <c r="C876" s="160" t="s">
        <v>4527</v>
      </c>
      <c r="D876" s="161" t="s">
        <v>4528</v>
      </c>
      <c r="E876" s="162" t="s">
        <v>4519</v>
      </c>
      <c r="F876" s="163" t="s">
        <v>17</v>
      </c>
      <c r="G876" s="164">
        <v>50</v>
      </c>
      <c r="H876" s="153">
        <f t="shared" si="28"/>
        <v>450</v>
      </c>
      <c r="I876" s="451">
        <f t="shared" si="30"/>
        <v>0</v>
      </c>
      <c r="J876" s="492">
        <f t="shared" si="29"/>
        <v>450</v>
      </c>
      <c r="K876" s="325"/>
      <c r="L876" s="326"/>
    </row>
    <row r="877" spans="1:12" ht="20.25" customHeight="1" x14ac:dyDescent="0.2">
      <c r="A877" s="108">
        <v>873</v>
      </c>
      <c r="B877" s="171" t="s">
        <v>4529</v>
      </c>
      <c r="C877" s="110" t="s">
        <v>4530</v>
      </c>
      <c r="D877" s="111" t="s">
        <v>4531</v>
      </c>
      <c r="E877" s="112" t="s">
        <v>4532</v>
      </c>
      <c r="F877" s="113" t="s">
        <v>8</v>
      </c>
      <c r="G877" s="119">
        <v>150</v>
      </c>
      <c r="H877" s="120">
        <f t="shared" si="28"/>
        <v>350</v>
      </c>
      <c r="I877" s="452">
        <f t="shared" si="30"/>
        <v>0</v>
      </c>
      <c r="J877" s="490">
        <f t="shared" si="29"/>
        <v>350</v>
      </c>
      <c r="K877" s="327"/>
      <c r="L877" s="328"/>
    </row>
    <row r="878" spans="1:12" ht="20.25" customHeight="1" x14ac:dyDescent="0.2">
      <c r="A878" s="114">
        <v>874</v>
      </c>
      <c r="B878" s="1" t="s">
        <v>4533</v>
      </c>
      <c r="C878" s="6" t="s">
        <v>2862</v>
      </c>
      <c r="D878" s="7" t="s">
        <v>4534</v>
      </c>
      <c r="E878" s="2" t="s">
        <v>4532</v>
      </c>
      <c r="F878" s="99" t="s">
        <v>11</v>
      </c>
      <c r="G878" s="121">
        <v>50</v>
      </c>
      <c r="H878" s="122">
        <f t="shared" si="28"/>
        <v>450</v>
      </c>
      <c r="I878" s="450">
        <f t="shared" si="30"/>
        <v>0</v>
      </c>
      <c r="J878" s="491">
        <f t="shared" si="29"/>
        <v>450</v>
      </c>
      <c r="K878" s="323"/>
      <c r="L878" s="324"/>
    </row>
    <row r="879" spans="1:12" ht="20.25" customHeight="1" x14ac:dyDescent="0.2">
      <c r="A879" s="114">
        <v>875</v>
      </c>
      <c r="B879" s="1" t="s">
        <v>4535</v>
      </c>
      <c r="C879" s="6" t="s">
        <v>3068</v>
      </c>
      <c r="D879" s="7" t="s">
        <v>4132</v>
      </c>
      <c r="E879" s="2" t="s">
        <v>4532</v>
      </c>
      <c r="F879" s="99" t="s">
        <v>14</v>
      </c>
      <c r="G879" s="121">
        <v>50</v>
      </c>
      <c r="H879" s="122">
        <f t="shared" si="28"/>
        <v>450</v>
      </c>
      <c r="I879" s="450">
        <f t="shared" si="30"/>
        <v>0</v>
      </c>
      <c r="J879" s="491">
        <f t="shared" si="29"/>
        <v>450</v>
      </c>
      <c r="K879" s="323"/>
      <c r="L879" s="324"/>
    </row>
    <row r="880" spans="1:12" ht="20.25" customHeight="1" thickBot="1" x14ac:dyDescent="0.25">
      <c r="A880" s="158">
        <v>876</v>
      </c>
      <c r="B880" s="159" t="s">
        <v>4536</v>
      </c>
      <c r="C880" s="160" t="s">
        <v>4537</v>
      </c>
      <c r="D880" s="161" t="s">
        <v>4538</v>
      </c>
      <c r="E880" s="162" t="s">
        <v>4532</v>
      </c>
      <c r="F880" s="163" t="s">
        <v>17</v>
      </c>
      <c r="G880" s="164">
        <v>50</v>
      </c>
      <c r="H880" s="153">
        <f t="shared" si="28"/>
        <v>450</v>
      </c>
      <c r="I880" s="451">
        <f t="shared" si="30"/>
        <v>0</v>
      </c>
      <c r="J880" s="492">
        <f t="shared" si="29"/>
        <v>450</v>
      </c>
      <c r="K880" s="325"/>
      <c r="L880" s="326"/>
    </row>
    <row r="881" spans="1:12" ht="20.25" customHeight="1" x14ac:dyDescent="0.2">
      <c r="A881" s="298">
        <v>877</v>
      </c>
      <c r="B881" s="166" t="s">
        <v>4539</v>
      </c>
      <c r="C881" s="299" t="s">
        <v>4540</v>
      </c>
      <c r="D881" s="300" t="s">
        <v>4541</v>
      </c>
      <c r="E881" s="301" t="s">
        <v>4542</v>
      </c>
      <c r="F881" s="302" t="s">
        <v>8</v>
      </c>
      <c r="G881" s="469">
        <v>100</v>
      </c>
      <c r="H881" s="470">
        <f t="shared" si="28"/>
        <v>400</v>
      </c>
      <c r="I881" s="471">
        <f>+(0-800)/3</f>
        <v>-266.66666666666669</v>
      </c>
      <c r="J881" s="502">
        <f t="shared" si="29"/>
        <v>133.33333333333331</v>
      </c>
      <c r="K881" s="321"/>
      <c r="L881" s="341"/>
    </row>
    <row r="882" spans="1:12" ht="20.25" customHeight="1" x14ac:dyDescent="0.2">
      <c r="A882" s="253">
        <v>878</v>
      </c>
      <c r="B882" s="78"/>
      <c r="C882" s="79" t="s">
        <v>4946</v>
      </c>
      <c r="D882" s="80"/>
      <c r="E882" s="77" t="s">
        <v>4542</v>
      </c>
      <c r="F882" s="79" t="s">
        <v>11</v>
      </c>
      <c r="G882" s="131"/>
      <c r="H882" s="132"/>
      <c r="I882" s="290"/>
      <c r="J882" s="499">
        <f t="shared" si="29"/>
        <v>0</v>
      </c>
      <c r="K882" s="336" t="s">
        <v>4946</v>
      </c>
      <c r="L882" s="324"/>
    </row>
    <row r="883" spans="1:12" ht="20.25" customHeight="1" x14ac:dyDescent="0.2">
      <c r="A883" s="303">
        <v>879</v>
      </c>
      <c r="B883" s="46" t="s">
        <v>4543</v>
      </c>
      <c r="C883" s="91" t="s">
        <v>4544</v>
      </c>
      <c r="D883" s="92" t="s">
        <v>4545</v>
      </c>
      <c r="E883" s="93" t="s">
        <v>4542</v>
      </c>
      <c r="F883" s="104" t="s">
        <v>14</v>
      </c>
      <c r="G883" s="135">
        <v>100</v>
      </c>
      <c r="H883" s="136">
        <f t="shared" si="28"/>
        <v>400</v>
      </c>
      <c r="I883" s="472">
        <f>+(0-800)/3</f>
        <v>-266.66666666666669</v>
      </c>
      <c r="J883" s="503">
        <f t="shared" si="29"/>
        <v>133.33333333333331</v>
      </c>
      <c r="K883" s="333"/>
      <c r="L883" s="334"/>
    </row>
    <row r="884" spans="1:12" ht="20.25" customHeight="1" thickBot="1" x14ac:dyDescent="0.25">
      <c r="A884" s="304">
        <v>880</v>
      </c>
      <c r="B884" s="148" t="s">
        <v>4546</v>
      </c>
      <c r="C884" s="305" t="s">
        <v>4547</v>
      </c>
      <c r="D884" s="306" t="s">
        <v>4548</v>
      </c>
      <c r="E884" s="307" t="s">
        <v>4542</v>
      </c>
      <c r="F884" s="308" t="s">
        <v>17</v>
      </c>
      <c r="G884" s="473">
        <v>150</v>
      </c>
      <c r="H884" s="474">
        <f t="shared" si="28"/>
        <v>350</v>
      </c>
      <c r="I884" s="475">
        <f>+(0-800)/3</f>
        <v>-266.66666666666669</v>
      </c>
      <c r="J884" s="504">
        <f t="shared" si="29"/>
        <v>83.333333333333314</v>
      </c>
      <c r="K884" s="331"/>
      <c r="L884" s="332"/>
    </row>
    <row r="885" spans="1:12" ht="20.25" customHeight="1" x14ac:dyDescent="0.2">
      <c r="A885" s="108">
        <v>881</v>
      </c>
      <c r="B885" s="171" t="s">
        <v>4549</v>
      </c>
      <c r="C885" s="110" t="s">
        <v>4550</v>
      </c>
      <c r="D885" s="111" t="s">
        <v>4551</v>
      </c>
      <c r="E885" s="112" t="s">
        <v>4552</v>
      </c>
      <c r="F885" s="113" t="s">
        <v>8</v>
      </c>
      <c r="G885" s="119">
        <v>100</v>
      </c>
      <c r="H885" s="120">
        <f t="shared" si="28"/>
        <v>400</v>
      </c>
      <c r="I885" s="452">
        <f>+(0+0)/4</f>
        <v>0</v>
      </c>
      <c r="J885" s="490">
        <f t="shared" si="29"/>
        <v>400</v>
      </c>
      <c r="K885" s="327"/>
      <c r="L885" s="328"/>
    </row>
    <row r="886" spans="1:12" ht="20.25" customHeight="1" x14ac:dyDescent="0.2">
      <c r="A886" s="114">
        <v>882</v>
      </c>
      <c r="B886" s="1" t="s">
        <v>4553</v>
      </c>
      <c r="C886" s="6" t="s">
        <v>4554</v>
      </c>
      <c r="D886" s="7" t="s">
        <v>4555</v>
      </c>
      <c r="E886" s="2" t="s">
        <v>4552</v>
      </c>
      <c r="F886" s="99" t="s">
        <v>11</v>
      </c>
      <c r="G886" s="121">
        <v>50</v>
      </c>
      <c r="H886" s="122">
        <f t="shared" si="28"/>
        <v>450</v>
      </c>
      <c r="I886" s="450">
        <f>+(0+0)/4</f>
        <v>0</v>
      </c>
      <c r="J886" s="491">
        <f t="shared" si="29"/>
        <v>450</v>
      </c>
      <c r="K886" s="323"/>
      <c r="L886" s="324"/>
    </row>
    <row r="887" spans="1:12" ht="20.25" customHeight="1" x14ac:dyDescent="0.2">
      <c r="A887" s="114">
        <v>883</v>
      </c>
      <c r="B887" s="1" t="s">
        <v>4556</v>
      </c>
      <c r="C887" s="6" t="s">
        <v>4557</v>
      </c>
      <c r="D887" s="7" t="s">
        <v>4558</v>
      </c>
      <c r="E887" s="2" t="s">
        <v>4552</v>
      </c>
      <c r="F887" s="99" t="s">
        <v>14</v>
      </c>
      <c r="G887" s="121">
        <v>50</v>
      </c>
      <c r="H887" s="122">
        <f t="shared" si="28"/>
        <v>450</v>
      </c>
      <c r="I887" s="450">
        <f>+(0+0)/4</f>
        <v>0</v>
      </c>
      <c r="J887" s="491">
        <f t="shared" si="29"/>
        <v>450</v>
      </c>
      <c r="K887" s="323"/>
      <c r="L887" s="324"/>
    </row>
    <row r="888" spans="1:12" ht="20.25" customHeight="1" thickBot="1" x14ac:dyDescent="0.25">
      <c r="A888" s="158">
        <v>884</v>
      </c>
      <c r="B888" s="159" t="s">
        <v>4559</v>
      </c>
      <c r="C888" s="160" t="s">
        <v>4560</v>
      </c>
      <c r="D888" s="161" t="s">
        <v>4561</v>
      </c>
      <c r="E888" s="162" t="s">
        <v>4552</v>
      </c>
      <c r="F888" s="163" t="s">
        <v>17</v>
      </c>
      <c r="G888" s="164">
        <v>50</v>
      </c>
      <c r="H888" s="153">
        <f t="shared" si="28"/>
        <v>450</v>
      </c>
      <c r="I888" s="451">
        <f>+(0+0)/4</f>
        <v>0</v>
      </c>
      <c r="J888" s="492">
        <f t="shared" si="29"/>
        <v>450</v>
      </c>
      <c r="K888" s="325"/>
      <c r="L888" s="326"/>
    </row>
    <row r="889" spans="1:12" ht="20.25" customHeight="1" x14ac:dyDescent="0.2">
      <c r="A889" s="108">
        <v>885</v>
      </c>
      <c r="B889" s="174" t="s">
        <v>4562</v>
      </c>
      <c r="C889" s="175" t="s">
        <v>2174</v>
      </c>
      <c r="D889" s="176" t="s">
        <v>4563</v>
      </c>
      <c r="E889" s="177" t="s">
        <v>4564</v>
      </c>
      <c r="F889" s="178" t="s">
        <v>8</v>
      </c>
      <c r="G889" s="179">
        <v>100</v>
      </c>
      <c r="H889" s="120">
        <f t="shared" si="28"/>
        <v>400</v>
      </c>
      <c r="I889" s="452">
        <f>+(0+0)/3</f>
        <v>0</v>
      </c>
      <c r="J889" s="490">
        <f t="shared" si="29"/>
        <v>400</v>
      </c>
      <c r="K889" s="327"/>
      <c r="L889" s="328"/>
    </row>
    <row r="890" spans="1:12" s="37" customFormat="1" ht="20.25" customHeight="1" x14ac:dyDescent="0.2">
      <c r="A890" s="116">
        <v>886</v>
      </c>
      <c r="B890" s="48" t="s">
        <v>4565</v>
      </c>
      <c r="C890" s="39" t="s">
        <v>2276</v>
      </c>
      <c r="D890" s="38" t="s">
        <v>4566</v>
      </c>
      <c r="E890" s="36" t="s">
        <v>4564</v>
      </c>
      <c r="F890" s="105" t="s">
        <v>11</v>
      </c>
      <c r="G890" s="137">
        <v>50</v>
      </c>
      <c r="H890" s="127">
        <f t="shared" si="28"/>
        <v>450</v>
      </c>
      <c r="I890" s="294">
        <f>+(0+0)/3</f>
        <v>0</v>
      </c>
      <c r="J890" s="497">
        <f t="shared" si="29"/>
        <v>450</v>
      </c>
      <c r="K890" s="333" t="s">
        <v>4996</v>
      </c>
      <c r="L890" s="334">
        <v>5500</v>
      </c>
    </row>
    <row r="891" spans="1:12" ht="20.25" customHeight="1" x14ac:dyDescent="0.2">
      <c r="A891" s="114">
        <v>887</v>
      </c>
      <c r="B891" s="47" t="s">
        <v>4567</v>
      </c>
      <c r="C891" s="10" t="s">
        <v>4568</v>
      </c>
      <c r="D891" s="11" t="s">
        <v>3119</v>
      </c>
      <c r="E891" s="5" t="s">
        <v>4564</v>
      </c>
      <c r="F891" s="100" t="s">
        <v>14</v>
      </c>
      <c r="G891" s="125">
        <v>100</v>
      </c>
      <c r="H891" s="122">
        <f t="shared" si="28"/>
        <v>400</v>
      </c>
      <c r="I891" s="450">
        <f>+(0+0)/3</f>
        <v>0</v>
      </c>
      <c r="J891" s="491">
        <f t="shared" si="29"/>
        <v>400</v>
      </c>
      <c r="K891" s="323"/>
      <c r="L891" s="324"/>
    </row>
    <row r="892" spans="1:12" ht="20.25" customHeight="1" thickBot="1" x14ac:dyDescent="0.25">
      <c r="A892" s="158">
        <v>888</v>
      </c>
      <c r="B892" s="217"/>
      <c r="C892" s="218" t="s">
        <v>4876</v>
      </c>
      <c r="D892" s="219"/>
      <c r="E892" s="220" t="s">
        <v>4564</v>
      </c>
      <c r="F892" s="218" t="s">
        <v>17</v>
      </c>
      <c r="G892" s="221">
        <v>0</v>
      </c>
      <c r="H892" s="222"/>
      <c r="I892" s="291"/>
      <c r="J892" s="492">
        <f t="shared" si="29"/>
        <v>0</v>
      </c>
      <c r="K892" s="337" t="s">
        <v>4876</v>
      </c>
      <c r="L892" s="326"/>
    </row>
    <row r="893" spans="1:12" ht="20.25" customHeight="1" x14ac:dyDescent="0.2">
      <c r="A893" s="108">
        <v>889</v>
      </c>
      <c r="B893" s="171" t="s">
        <v>4569</v>
      </c>
      <c r="C893" s="110" t="s">
        <v>4570</v>
      </c>
      <c r="D893" s="111" t="s">
        <v>4571</v>
      </c>
      <c r="E893" s="112" t="s">
        <v>4572</v>
      </c>
      <c r="F893" s="113" t="s">
        <v>8</v>
      </c>
      <c r="G893" s="119">
        <v>50</v>
      </c>
      <c r="H893" s="120">
        <f t="shared" si="28"/>
        <v>450</v>
      </c>
      <c r="I893" s="452">
        <f t="shared" ref="I893:I900" si="31">+(0+0)/4</f>
        <v>0</v>
      </c>
      <c r="J893" s="490">
        <f t="shared" si="29"/>
        <v>450</v>
      </c>
      <c r="K893" s="327"/>
      <c r="L893" s="328"/>
    </row>
    <row r="894" spans="1:12" s="37" customFormat="1" ht="20.25" customHeight="1" x14ac:dyDescent="0.2">
      <c r="A894" s="116">
        <v>890</v>
      </c>
      <c r="B894" s="46" t="s">
        <v>4573</v>
      </c>
      <c r="C894" s="29" t="s">
        <v>3295</v>
      </c>
      <c r="D894" s="28" t="s">
        <v>4571</v>
      </c>
      <c r="E894" s="30" t="s">
        <v>4572</v>
      </c>
      <c r="F894" s="73" t="s">
        <v>11</v>
      </c>
      <c r="G894" s="126">
        <v>150</v>
      </c>
      <c r="H894" s="127">
        <f t="shared" si="28"/>
        <v>350</v>
      </c>
      <c r="I894" s="294">
        <f t="shared" si="31"/>
        <v>0</v>
      </c>
      <c r="J894" s="497">
        <f t="shared" si="29"/>
        <v>350</v>
      </c>
      <c r="K894" s="333" t="s">
        <v>4996</v>
      </c>
      <c r="L894" s="334">
        <f>3500+6500+6500</f>
        <v>16500</v>
      </c>
    </row>
    <row r="895" spans="1:12" ht="20.25" customHeight="1" x14ac:dyDescent="0.2">
      <c r="A895" s="114">
        <v>891</v>
      </c>
      <c r="B895" s="1" t="s">
        <v>4574</v>
      </c>
      <c r="C895" s="6" t="s">
        <v>4575</v>
      </c>
      <c r="D895" s="7" t="s">
        <v>4576</v>
      </c>
      <c r="E895" s="2" t="s">
        <v>4572</v>
      </c>
      <c r="F895" s="99" t="s">
        <v>14</v>
      </c>
      <c r="G895" s="121">
        <v>50</v>
      </c>
      <c r="H895" s="122">
        <f t="shared" si="28"/>
        <v>450</v>
      </c>
      <c r="I895" s="450">
        <f t="shared" si="31"/>
        <v>0</v>
      </c>
      <c r="J895" s="491">
        <f t="shared" si="29"/>
        <v>450</v>
      </c>
      <c r="K895" s="323"/>
      <c r="L895" s="324"/>
    </row>
    <row r="896" spans="1:12" ht="20.25" customHeight="1" thickBot="1" x14ac:dyDescent="0.25">
      <c r="A896" s="158">
        <v>892</v>
      </c>
      <c r="B896" s="159" t="s">
        <v>4577</v>
      </c>
      <c r="C896" s="160" t="s">
        <v>4578</v>
      </c>
      <c r="D896" s="161" t="s">
        <v>4579</v>
      </c>
      <c r="E896" s="162" t="s">
        <v>4572</v>
      </c>
      <c r="F896" s="163" t="s">
        <v>17</v>
      </c>
      <c r="G896" s="164">
        <v>50</v>
      </c>
      <c r="H896" s="153">
        <f t="shared" si="28"/>
        <v>450</v>
      </c>
      <c r="I896" s="451">
        <f t="shared" si="31"/>
        <v>0</v>
      </c>
      <c r="J896" s="492">
        <f t="shared" si="29"/>
        <v>450</v>
      </c>
      <c r="K896" s="325"/>
      <c r="L896" s="326"/>
    </row>
    <row r="897" spans="1:12" ht="20.25" customHeight="1" x14ac:dyDescent="0.2">
      <c r="A897" s="108">
        <v>893</v>
      </c>
      <c r="B897" s="171" t="s">
        <v>4580</v>
      </c>
      <c r="C897" s="110" t="s">
        <v>2218</v>
      </c>
      <c r="D897" s="111" t="s">
        <v>4581</v>
      </c>
      <c r="E897" s="112" t="s">
        <v>4582</v>
      </c>
      <c r="F897" s="113" t="s">
        <v>8</v>
      </c>
      <c r="G897" s="119">
        <v>50</v>
      </c>
      <c r="H897" s="120">
        <f t="shared" si="28"/>
        <v>450</v>
      </c>
      <c r="I897" s="452">
        <f t="shared" si="31"/>
        <v>0</v>
      </c>
      <c r="J897" s="490">
        <f t="shared" si="29"/>
        <v>450</v>
      </c>
      <c r="K897" s="327"/>
      <c r="L897" s="328"/>
    </row>
    <row r="898" spans="1:12" ht="20.25" customHeight="1" x14ac:dyDescent="0.2">
      <c r="A898" s="114">
        <v>894</v>
      </c>
      <c r="B898" s="1" t="s">
        <v>4583</v>
      </c>
      <c r="C898" s="6" t="s">
        <v>4584</v>
      </c>
      <c r="D898" s="7" t="s">
        <v>1694</v>
      </c>
      <c r="E898" s="2" t="s">
        <v>4582</v>
      </c>
      <c r="F898" s="99" t="s">
        <v>11</v>
      </c>
      <c r="G898" s="121">
        <v>50</v>
      </c>
      <c r="H898" s="122">
        <f t="shared" si="28"/>
        <v>450</v>
      </c>
      <c r="I898" s="450">
        <f t="shared" si="31"/>
        <v>0</v>
      </c>
      <c r="J898" s="491">
        <f t="shared" si="29"/>
        <v>450</v>
      </c>
      <c r="K898" s="323"/>
      <c r="L898" s="324"/>
    </row>
    <row r="899" spans="1:12" ht="20.25" customHeight="1" x14ac:dyDescent="0.2">
      <c r="A899" s="114">
        <v>895</v>
      </c>
      <c r="B899" s="1" t="s">
        <v>4585</v>
      </c>
      <c r="C899" s="6" t="s">
        <v>2862</v>
      </c>
      <c r="D899" s="7" t="s">
        <v>4586</v>
      </c>
      <c r="E899" s="2" t="s">
        <v>4582</v>
      </c>
      <c r="F899" s="99" t="s">
        <v>14</v>
      </c>
      <c r="G899" s="121">
        <v>50</v>
      </c>
      <c r="H899" s="122">
        <f t="shared" si="28"/>
        <v>450</v>
      </c>
      <c r="I899" s="450">
        <f t="shared" si="31"/>
        <v>0</v>
      </c>
      <c r="J899" s="491">
        <f t="shared" si="29"/>
        <v>450</v>
      </c>
      <c r="K899" s="323"/>
      <c r="L899" s="324"/>
    </row>
    <row r="900" spans="1:12" ht="20.25" customHeight="1" thickBot="1" x14ac:dyDescent="0.25">
      <c r="A900" s="158">
        <v>896</v>
      </c>
      <c r="B900" s="159" t="s">
        <v>4587</v>
      </c>
      <c r="C900" s="160" t="s">
        <v>4588</v>
      </c>
      <c r="D900" s="161" t="s">
        <v>4589</v>
      </c>
      <c r="E900" s="162" t="s">
        <v>4582</v>
      </c>
      <c r="F900" s="163" t="s">
        <v>17</v>
      </c>
      <c r="G900" s="164">
        <v>150</v>
      </c>
      <c r="H900" s="153">
        <f t="shared" si="28"/>
        <v>350</v>
      </c>
      <c r="I900" s="451">
        <f t="shared" si="31"/>
        <v>0</v>
      </c>
      <c r="J900" s="492">
        <f t="shared" si="29"/>
        <v>350</v>
      </c>
      <c r="K900" s="325"/>
      <c r="L900" s="326"/>
    </row>
    <row r="901" spans="1:12" ht="20.25" customHeight="1" x14ac:dyDescent="0.2">
      <c r="A901" s="108">
        <v>897</v>
      </c>
      <c r="B901" s="174" t="s">
        <v>4590</v>
      </c>
      <c r="C901" s="175" t="s">
        <v>4591</v>
      </c>
      <c r="D901" s="176" t="s">
        <v>4592</v>
      </c>
      <c r="E901" s="177" t="s">
        <v>4593</v>
      </c>
      <c r="F901" s="178" t="s">
        <v>8</v>
      </c>
      <c r="G901" s="179">
        <v>150</v>
      </c>
      <c r="H901" s="120">
        <f t="shared" ref="H901:H964" si="32">500-G901</f>
        <v>350</v>
      </c>
      <c r="I901" s="452">
        <f>+(0+0)/2</f>
        <v>0</v>
      </c>
      <c r="J901" s="490">
        <f t="shared" si="29"/>
        <v>350</v>
      </c>
      <c r="K901" s="327"/>
      <c r="L901" s="328"/>
    </row>
    <row r="902" spans="1:12" ht="20.25" customHeight="1" x14ac:dyDescent="0.2">
      <c r="A902" s="114">
        <v>898</v>
      </c>
      <c r="B902" s="47" t="s">
        <v>4594</v>
      </c>
      <c r="C902" s="10" t="s">
        <v>4595</v>
      </c>
      <c r="D902" s="11" t="s">
        <v>4596</v>
      </c>
      <c r="E902" s="5" t="s">
        <v>4593</v>
      </c>
      <c r="F902" s="100" t="s">
        <v>11</v>
      </c>
      <c r="G902" s="125">
        <v>50</v>
      </c>
      <c r="H902" s="122">
        <f t="shared" si="32"/>
        <v>450</v>
      </c>
      <c r="I902" s="450">
        <f>+(0+0)/2</f>
        <v>0</v>
      </c>
      <c r="J902" s="491">
        <f t="shared" si="29"/>
        <v>450</v>
      </c>
      <c r="K902" s="323"/>
      <c r="L902" s="324"/>
    </row>
    <row r="903" spans="1:12" ht="20.25" customHeight="1" x14ac:dyDescent="0.2">
      <c r="A903" s="114">
        <v>899</v>
      </c>
      <c r="B903" s="51"/>
      <c r="C903" s="592" t="s">
        <v>4945</v>
      </c>
      <c r="D903" s="593"/>
      <c r="E903" s="18" t="s">
        <v>4593</v>
      </c>
      <c r="F903" s="82" t="s">
        <v>14</v>
      </c>
      <c r="G903" s="476">
        <v>0</v>
      </c>
      <c r="H903" s="122">
        <f t="shared" si="32"/>
        <v>500</v>
      </c>
      <c r="I903" s="450">
        <v>0</v>
      </c>
      <c r="J903" s="491">
        <f t="shared" si="29"/>
        <v>500</v>
      </c>
      <c r="K903" s="323"/>
      <c r="L903" s="324"/>
    </row>
    <row r="904" spans="1:12" ht="20.25" customHeight="1" thickBot="1" x14ac:dyDescent="0.25">
      <c r="A904" s="158">
        <v>900</v>
      </c>
      <c r="B904" s="242"/>
      <c r="C904" s="594"/>
      <c r="D904" s="595"/>
      <c r="E904" s="243" t="s">
        <v>4593</v>
      </c>
      <c r="F904" s="244" t="s">
        <v>17</v>
      </c>
      <c r="G904" s="477">
        <v>0</v>
      </c>
      <c r="H904" s="153">
        <f t="shared" si="32"/>
        <v>500</v>
      </c>
      <c r="I904" s="451">
        <v>0</v>
      </c>
      <c r="J904" s="492">
        <f t="shared" si="29"/>
        <v>500</v>
      </c>
      <c r="K904" s="325"/>
      <c r="L904" s="326"/>
    </row>
    <row r="905" spans="1:12" ht="20.25" customHeight="1" x14ac:dyDescent="0.2">
      <c r="A905" s="108">
        <v>901</v>
      </c>
      <c r="B905" s="174" t="s">
        <v>4597</v>
      </c>
      <c r="C905" s="175" t="s">
        <v>4598</v>
      </c>
      <c r="D905" s="176" t="s">
        <v>4599</v>
      </c>
      <c r="E905" s="177" t="s">
        <v>4600</v>
      </c>
      <c r="F905" s="178" t="s">
        <v>8</v>
      </c>
      <c r="G905" s="179">
        <v>50</v>
      </c>
      <c r="H905" s="120">
        <f t="shared" si="32"/>
        <v>450</v>
      </c>
      <c r="I905" s="452">
        <f>+(0+0)/2</f>
        <v>0</v>
      </c>
      <c r="J905" s="490">
        <f t="shared" si="29"/>
        <v>450</v>
      </c>
      <c r="K905" s="327"/>
      <c r="L905" s="328"/>
    </row>
    <row r="906" spans="1:12" ht="20.25" customHeight="1" x14ac:dyDescent="0.2">
      <c r="A906" s="114">
        <v>902</v>
      </c>
      <c r="B906" s="47" t="s">
        <v>4601</v>
      </c>
      <c r="C906" s="10" t="s">
        <v>4602</v>
      </c>
      <c r="D906" s="11" t="s">
        <v>4603</v>
      </c>
      <c r="E906" s="5" t="s">
        <v>4600</v>
      </c>
      <c r="F906" s="100" t="s">
        <v>11</v>
      </c>
      <c r="G906" s="125">
        <v>150</v>
      </c>
      <c r="H906" s="122">
        <f t="shared" si="32"/>
        <v>350</v>
      </c>
      <c r="I906" s="450">
        <f>+(0+0)/2</f>
        <v>0</v>
      </c>
      <c r="J906" s="491">
        <f t="shared" si="29"/>
        <v>350</v>
      </c>
      <c r="K906" s="323"/>
      <c r="L906" s="324"/>
    </row>
    <row r="907" spans="1:12" ht="20.25" customHeight="1" x14ac:dyDescent="0.2">
      <c r="A907" s="114">
        <v>903</v>
      </c>
      <c r="B907" s="84"/>
      <c r="C907" s="85" t="s">
        <v>4876</v>
      </c>
      <c r="D907" s="86"/>
      <c r="E907" s="83" t="s">
        <v>4600</v>
      </c>
      <c r="F907" s="85" t="s">
        <v>14</v>
      </c>
      <c r="G907" s="156">
        <v>0</v>
      </c>
      <c r="H907" s="155"/>
      <c r="I907" s="292"/>
      <c r="J907" s="491">
        <f t="shared" si="29"/>
        <v>0</v>
      </c>
      <c r="K907" s="338" t="s">
        <v>4876</v>
      </c>
      <c r="L907" s="324"/>
    </row>
    <row r="908" spans="1:12" ht="20.25" customHeight="1" thickBot="1" x14ac:dyDescent="0.25">
      <c r="A908" s="158">
        <v>904</v>
      </c>
      <c r="B908" s="217"/>
      <c r="C908" s="218" t="s">
        <v>4876</v>
      </c>
      <c r="D908" s="219"/>
      <c r="E908" s="220" t="s">
        <v>4600</v>
      </c>
      <c r="F908" s="218" t="s">
        <v>17</v>
      </c>
      <c r="G908" s="221">
        <v>0</v>
      </c>
      <c r="H908" s="222"/>
      <c r="I908" s="291"/>
      <c r="J908" s="492">
        <f t="shared" si="29"/>
        <v>0</v>
      </c>
      <c r="K908" s="337" t="s">
        <v>4876</v>
      </c>
      <c r="L908" s="326"/>
    </row>
    <row r="909" spans="1:12" s="37" customFormat="1" ht="20.25" customHeight="1" x14ac:dyDescent="0.2">
      <c r="A909" s="165">
        <v>905</v>
      </c>
      <c r="B909" s="166" t="s">
        <v>4604</v>
      </c>
      <c r="C909" s="241" t="s">
        <v>4481</v>
      </c>
      <c r="D909" s="168" t="s">
        <v>4605</v>
      </c>
      <c r="E909" s="169" t="s">
        <v>4606</v>
      </c>
      <c r="F909" s="167" t="s">
        <v>8</v>
      </c>
      <c r="G909" s="170">
        <v>50</v>
      </c>
      <c r="H909" s="246">
        <f t="shared" si="32"/>
        <v>450</v>
      </c>
      <c r="I909" s="293">
        <f>+(0+1820)/4</f>
        <v>455</v>
      </c>
      <c r="J909" s="500">
        <f t="shared" si="29"/>
        <v>905</v>
      </c>
      <c r="K909" s="321" t="s">
        <v>4996</v>
      </c>
      <c r="L909" s="341">
        <v>1000</v>
      </c>
    </row>
    <row r="910" spans="1:12" ht="20.25" customHeight="1" x14ac:dyDescent="0.2">
      <c r="A910" s="114">
        <v>906</v>
      </c>
      <c r="B910" s="1" t="s">
        <v>4607</v>
      </c>
      <c r="C910" s="6" t="s">
        <v>4608</v>
      </c>
      <c r="D910" s="7" t="s">
        <v>4609</v>
      </c>
      <c r="E910" s="2" t="s">
        <v>4606</v>
      </c>
      <c r="F910" s="99" t="s">
        <v>11</v>
      </c>
      <c r="G910" s="121">
        <v>50</v>
      </c>
      <c r="H910" s="122">
        <f t="shared" si="32"/>
        <v>450</v>
      </c>
      <c r="I910" s="450">
        <f>+(0+1820)/4</f>
        <v>455</v>
      </c>
      <c r="J910" s="491">
        <f t="shared" si="29"/>
        <v>905</v>
      </c>
      <c r="K910" s="323"/>
      <c r="L910" s="324"/>
    </row>
    <row r="911" spans="1:12" ht="20.25" customHeight="1" x14ac:dyDescent="0.2">
      <c r="A911" s="114">
        <v>907</v>
      </c>
      <c r="B911" s="1" t="s">
        <v>4610</v>
      </c>
      <c r="C911" s="6" t="s">
        <v>3717</v>
      </c>
      <c r="D911" s="7" t="s">
        <v>4611</v>
      </c>
      <c r="E911" s="2" t="s">
        <v>4606</v>
      </c>
      <c r="F911" s="99" t="s">
        <v>14</v>
      </c>
      <c r="G911" s="121">
        <v>50</v>
      </c>
      <c r="H911" s="122">
        <f t="shared" si="32"/>
        <v>450</v>
      </c>
      <c r="I911" s="450">
        <f>+(0+1820)/4</f>
        <v>455</v>
      </c>
      <c r="J911" s="491">
        <f t="shared" si="29"/>
        <v>905</v>
      </c>
      <c r="K911" s="323"/>
      <c r="L911" s="324"/>
    </row>
    <row r="912" spans="1:12" ht="20.25" customHeight="1" thickBot="1" x14ac:dyDescent="0.25">
      <c r="A912" s="158">
        <v>908</v>
      </c>
      <c r="B912" s="159" t="s">
        <v>4612</v>
      </c>
      <c r="C912" s="160" t="s">
        <v>4613</v>
      </c>
      <c r="D912" s="161" t="s">
        <v>4614</v>
      </c>
      <c r="E912" s="162" t="s">
        <v>4606</v>
      </c>
      <c r="F912" s="163" t="s">
        <v>17</v>
      </c>
      <c r="G912" s="164">
        <v>150</v>
      </c>
      <c r="H912" s="153">
        <f t="shared" si="32"/>
        <v>350</v>
      </c>
      <c r="I912" s="451">
        <f>+(0+1820)/4</f>
        <v>455</v>
      </c>
      <c r="J912" s="492">
        <f t="shared" si="29"/>
        <v>805</v>
      </c>
      <c r="K912" s="325"/>
      <c r="L912" s="326"/>
    </row>
    <row r="913" spans="1:12" ht="20.25" customHeight="1" x14ac:dyDescent="0.2">
      <c r="A913" s="298">
        <v>909</v>
      </c>
      <c r="B913" s="166" t="s">
        <v>4615</v>
      </c>
      <c r="C913" s="299" t="s">
        <v>4616</v>
      </c>
      <c r="D913" s="300" t="s">
        <v>4617</v>
      </c>
      <c r="E913" s="301" t="s">
        <v>4618</v>
      </c>
      <c r="F913" s="302" t="s">
        <v>8</v>
      </c>
      <c r="G913" s="469">
        <v>100</v>
      </c>
      <c r="H913" s="470">
        <f t="shared" si="32"/>
        <v>400</v>
      </c>
      <c r="I913" s="471">
        <f>+(-1500)/4</f>
        <v>-375</v>
      </c>
      <c r="J913" s="502">
        <f t="shared" ref="J913:J976" si="33">SUM(H913:I913)</f>
        <v>25</v>
      </c>
      <c r="K913" s="321"/>
      <c r="L913" s="341"/>
    </row>
    <row r="914" spans="1:12" ht="20.25" customHeight="1" x14ac:dyDescent="0.2">
      <c r="A914" s="116">
        <v>910</v>
      </c>
      <c r="B914" s="46" t="s">
        <v>4619</v>
      </c>
      <c r="C914" s="29" t="s">
        <v>4620</v>
      </c>
      <c r="D914" s="28" t="s">
        <v>4621</v>
      </c>
      <c r="E914" s="30" t="s">
        <v>4618</v>
      </c>
      <c r="F914" s="73" t="s">
        <v>11</v>
      </c>
      <c r="G914" s="126">
        <v>150</v>
      </c>
      <c r="H914" s="127">
        <f t="shared" si="32"/>
        <v>350</v>
      </c>
      <c r="I914" s="294">
        <f>+(-1500)/4</f>
        <v>-375</v>
      </c>
      <c r="J914" s="497">
        <f t="shared" si="33"/>
        <v>-25</v>
      </c>
      <c r="K914" s="333" t="s">
        <v>5720</v>
      </c>
      <c r="L914" s="334"/>
    </row>
    <row r="915" spans="1:12" ht="20.25" customHeight="1" x14ac:dyDescent="0.2">
      <c r="A915" s="303">
        <v>911</v>
      </c>
      <c r="B915" s="46" t="s">
        <v>4622</v>
      </c>
      <c r="C915" s="91" t="s">
        <v>4623</v>
      </c>
      <c r="D915" s="92" t="s">
        <v>4624</v>
      </c>
      <c r="E915" s="93" t="s">
        <v>4618</v>
      </c>
      <c r="F915" s="104" t="s">
        <v>14</v>
      </c>
      <c r="G915" s="135">
        <v>50</v>
      </c>
      <c r="H915" s="136">
        <f t="shared" si="32"/>
        <v>450</v>
      </c>
      <c r="I915" s="472">
        <f>+(-1500)/4</f>
        <v>-375</v>
      </c>
      <c r="J915" s="503">
        <f t="shared" si="33"/>
        <v>75</v>
      </c>
      <c r="K915" s="333"/>
      <c r="L915" s="334"/>
    </row>
    <row r="916" spans="1:12" ht="20.25" customHeight="1" thickBot="1" x14ac:dyDescent="0.25">
      <c r="A916" s="158">
        <v>912</v>
      </c>
      <c r="B916" s="148" t="s">
        <v>4625</v>
      </c>
      <c r="C916" s="198" t="s">
        <v>2641</v>
      </c>
      <c r="D916" s="150" t="s">
        <v>4626</v>
      </c>
      <c r="E916" s="151" t="s">
        <v>4618</v>
      </c>
      <c r="F916" s="149" t="s">
        <v>17</v>
      </c>
      <c r="G916" s="152">
        <v>150</v>
      </c>
      <c r="H916" s="247">
        <f t="shared" si="32"/>
        <v>350</v>
      </c>
      <c r="I916" s="295">
        <f>+(-1500)/4</f>
        <v>-375</v>
      </c>
      <c r="J916" s="492">
        <f t="shared" si="33"/>
        <v>-25</v>
      </c>
      <c r="K916" s="331" t="s">
        <v>5720</v>
      </c>
      <c r="L916" s="332"/>
    </row>
    <row r="917" spans="1:12" ht="20.25" customHeight="1" x14ac:dyDescent="0.2">
      <c r="A917" s="309">
        <v>913</v>
      </c>
      <c r="B917" s="229" t="s">
        <v>4627</v>
      </c>
      <c r="C917" s="311" t="s">
        <v>4628</v>
      </c>
      <c r="D917" s="312" t="s">
        <v>4629</v>
      </c>
      <c r="E917" s="313" t="s">
        <v>4630</v>
      </c>
      <c r="F917" s="314" t="s">
        <v>8</v>
      </c>
      <c r="G917" s="478">
        <v>150</v>
      </c>
      <c r="H917" s="479">
        <f t="shared" si="32"/>
        <v>350</v>
      </c>
      <c r="I917" s="480">
        <f>+(-1480+815)/2</f>
        <v>-332.5</v>
      </c>
      <c r="J917" s="505">
        <f t="shared" si="33"/>
        <v>17.5</v>
      </c>
      <c r="K917" s="347"/>
      <c r="L917" s="341"/>
    </row>
    <row r="918" spans="1:12" ht="20.25" customHeight="1" x14ac:dyDescent="0.2">
      <c r="A918" s="310">
        <v>914</v>
      </c>
      <c r="B918" s="48" t="s">
        <v>4631</v>
      </c>
      <c r="C918" s="315" t="s">
        <v>2899</v>
      </c>
      <c r="D918" s="316" t="s">
        <v>4632</v>
      </c>
      <c r="E918" s="317" t="s">
        <v>4630</v>
      </c>
      <c r="F918" s="318" t="s">
        <v>11</v>
      </c>
      <c r="G918" s="481">
        <v>150</v>
      </c>
      <c r="H918" s="482">
        <f t="shared" si="32"/>
        <v>350</v>
      </c>
      <c r="I918" s="483">
        <f>+(-1480+815)/2</f>
        <v>-332.5</v>
      </c>
      <c r="J918" s="506">
        <f t="shared" si="33"/>
        <v>17.5</v>
      </c>
      <c r="K918" s="348"/>
      <c r="L918" s="334"/>
    </row>
    <row r="919" spans="1:12" ht="20.25" customHeight="1" x14ac:dyDescent="0.2">
      <c r="A919" s="114">
        <v>915</v>
      </c>
      <c r="B919" s="84"/>
      <c r="C919" s="85" t="s">
        <v>4876</v>
      </c>
      <c r="D919" s="86"/>
      <c r="E919" s="83" t="s">
        <v>4630</v>
      </c>
      <c r="F919" s="85" t="s">
        <v>14</v>
      </c>
      <c r="G919" s="156"/>
      <c r="H919" s="155"/>
      <c r="I919" s="292"/>
      <c r="J919" s="491">
        <f t="shared" si="33"/>
        <v>0</v>
      </c>
      <c r="K919" s="338" t="s">
        <v>4876</v>
      </c>
      <c r="L919" s="324"/>
    </row>
    <row r="920" spans="1:12" ht="20.25" customHeight="1" thickBot="1" x14ac:dyDescent="0.25">
      <c r="A920" s="158">
        <v>916</v>
      </c>
      <c r="B920" s="217"/>
      <c r="C920" s="218" t="s">
        <v>4876</v>
      </c>
      <c r="D920" s="219"/>
      <c r="E920" s="220" t="s">
        <v>4630</v>
      </c>
      <c r="F920" s="218" t="s">
        <v>17</v>
      </c>
      <c r="G920" s="221"/>
      <c r="H920" s="222"/>
      <c r="I920" s="291"/>
      <c r="J920" s="492">
        <f t="shared" si="33"/>
        <v>0</v>
      </c>
      <c r="K920" s="337" t="s">
        <v>4876</v>
      </c>
      <c r="L920" s="326"/>
    </row>
    <row r="921" spans="1:12" ht="20.25" customHeight="1" x14ac:dyDescent="0.2">
      <c r="A921" s="108">
        <v>917</v>
      </c>
      <c r="B921" s="171" t="s">
        <v>4633</v>
      </c>
      <c r="C921" s="110" t="s">
        <v>4634</v>
      </c>
      <c r="D921" s="111" t="s">
        <v>4635</v>
      </c>
      <c r="E921" s="112" t="s">
        <v>4636</v>
      </c>
      <c r="F921" s="113" t="s">
        <v>8</v>
      </c>
      <c r="G921" s="119">
        <v>100</v>
      </c>
      <c r="H921" s="120">
        <f t="shared" si="32"/>
        <v>400</v>
      </c>
      <c r="I921" s="452">
        <f t="shared" ref="I921:I928" si="34">+(0+0)/4</f>
        <v>0</v>
      </c>
      <c r="J921" s="490">
        <f t="shared" si="33"/>
        <v>400</v>
      </c>
      <c r="K921" s="327"/>
      <c r="L921" s="328"/>
    </row>
    <row r="922" spans="1:12" ht="20.25" customHeight="1" x14ac:dyDescent="0.2">
      <c r="A922" s="114">
        <v>918</v>
      </c>
      <c r="B922" s="1" t="s">
        <v>4637</v>
      </c>
      <c r="C922" s="6" t="s">
        <v>3421</v>
      </c>
      <c r="D922" s="7" t="s">
        <v>4638</v>
      </c>
      <c r="E922" s="2" t="s">
        <v>4636</v>
      </c>
      <c r="F922" s="99" t="s">
        <v>11</v>
      </c>
      <c r="G922" s="121">
        <v>100</v>
      </c>
      <c r="H922" s="122">
        <f t="shared" si="32"/>
        <v>400</v>
      </c>
      <c r="I922" s="450">
        <f t="shared" si="34"/>
        <v>0</v>
      </c>
      <c r="J922" s="491">
        <f t="shared" si="33"/>
        <v>400</v>
      </c>
      <c r="K922" s="323"/>
      <c r="L922" s="324"/>
    </row>
    <row r="923" spans="1:12" ht="20.25" customHeight="1" x14ac:dyDescent="0.2">
      <c r="A923" s="114">
        <v>919</v>
      </c>
      <c r="B923" s="1" t="s">
        <v>4639</v>
      </c>
      <c r="C923" s="6" t="s">
        <v>4640</v>
      </c>
      <c r="D923" s="7" t="s">
        <v>4641</v>
      </c>
      <c r="E923" s="2" t="s">
        <v>4636</v>
      </c>
      <c r="F923" s="99" t="s">
        <v>14</v>
      </c>
      <c r="G923" s="121">
        <v>150</v>
      </c>
      <c r="H923" s="122">
        <f t="shared" si="32"/>
        <v>350</v>
      </c>
      <c r="I923" s="450">
        <f t="shared" si="34"/>
        <v>0</v>
      </c>
      <c r="J923" s="491">
        <f t="shared" si="33"/>
        <v>350</v>
      </c>
      <c r="K923" s="323"/>
      <c r="L923" s="324"/>
    </row>
    <row r="924" spans="1:12" ht="20.25" customHeight="1" thickBot="1" x14ac:dyDescent="0.25">
      <c r="A924" s="158">
        <v>920</v>
      </c>
      <c r="B924" s="159" t="s">
        <v>4642</v>
      </c>
      <c r="C924" s="160" t="s">
        <v>4643</v>
      </c>
      <c r="D924" s="161" t="s">
        <v>4644</v>
      </c>
      <c r="E924" s="162" t="s">
        <v>4636</v>
      </c>
      <c r="F924" s="163" t="s">
        <v>17</v>
      </c>
      <c r="G924" s="164">
        <v>150</v>
      </c>
      <c r="H924" s="153">
        <f t="shared" si="32"/>
        <v>350</v>
      </c>
      <c r="I924" s="451">
        <f t="shared" si="34"/>
        <v>0</v>
      </c>
      <c r="J924" s="492">
        <f t="shared" si="33"/>
        <v>350</v>
      </c>
      <c r="K924" s="325"/>
      <c r="L924" s="326"/>
    </row>
    <row r="925" spans="1:12" ht="20.25" customHeight="1" x14ac:dyDescent="0.2">
      <c r="A925" s="108">
        <v>921</v>
      </c>
      <c r="B925" s="171" t="s">
        <v>4645</v>
      </c>
      <c r="C925" s="110" t="s">
        <v>4646</v>
      </c>
      <c r="D925" s="111" t="s">
        <v>4647</v>
      </c>
      <c r="E925" s="112" t="s">
        <v>4648</v>
      </c>
      <c r="F925" s="113" t="s">
        <v>8</v>
      </c>
      <c r="G925" s="119">
        <v>150</v>
      </c>
      <c r="H925" s="120">
        <f t="shared" si="32"/>
        <v>350</v>
      </c>
      <c r="I925" s="452">
        <f t="shared" si="34"/>
        <v>0</v>
      </c>
      <c r="J925" s="490">
        <f t="shared" si="33"/>
        <v>350</v>
      </c>
      <c r="K925" s="327"/>
      <c r="L925" s="328"/>
    </row>
    <row r="926" spans="1:12" ht="20.25" customHeight="1" x14ac:dyDescent="0.2">
      <c r="A926" s="114">
        <v>922</v>
      </c>
      <c r="B926" s="1" t="s">
        <v>4649</v>
      </c>
      <c r="C926" s="6" t="s">
        <v>4650</v>
      </c>
      <c r="D926" s="7" t="s">
        <v>4651</v>
      </c>
      <c r="E926" s="2" t="s">
        <v>4648</v>
      </c>
      <c r="F926" s="99" t="s">
        <v>11</v>
      </c>
      <c r="G926" s="121">
        <v>200</v>
      </c>
      <c r="H926" s="122">
        <f t="shared" si="32"/>
        <v>300</v>
      </c>
      <c r="I926" s="450">
        <f t="shared" si="34"/>
        <v>0</v>
      </c>
      <c r="J926" s="491">
        <f t="shared" si="33"/>
        <v>300</v>
      </c>
      <c r="K926" s="323"/>
      <c r="L926" s="324"/>
    </row>
    <row r="927" spans="1:12" ht="20.25" customHeight="1" x14ac:dyDescent="0.2">
      <c r="A927" s="114">
        <v>923</v>
      </c>
      <c r="B927" s="1" t="s">
        <v>4652</v>
      </c>
      <c r="C927" s="6" t="s">
        <v>4653</v>
      </c>
      <c r="D927" s="7" t="s">
        <v>4654</v>
      </c>
      <c r="E927" s="2" t="s">
        <v>4648</v>
      </c>
      <c r="F927" s="99" t="s">
        <v>14</v>
      </c>
      <c r="G927" s="121">
        <v>150</v>
      </c>
      <c r="H927" s="122">
        <f t="shared" si="32"/>
        <v>350</v>
      </c>
      <c r="I927" s="450">
        <f t="shared" si="34"/>
        <v>0</v>
      </c>
      <c r="J927" s="491">
        <f t="shared" si="33"/>
        <v>350</v>
      </c>
      <c r="K927" s="323"/>
      <c r="L927" s="324"/>
    </row>
    <row r="928" spans="1:12" ht="20.25" customHeight="1" thickBot="1" x14ac:dyDescent="0.25">
      <c r="A928" s="158">
        <v>924</v>
      </c>
      <c r="B928" s="159" t="s">
        <v>4655</v>
      </c>
      <c r="C928" s="160" t="s">
        <v>2848</v>
      </c>
      <c r="D928" s="161" t="s">
        <v>4656</v>
      </c>
      <c r="E928" s="162" t="s">
        <v>4648</v>
      </c>
      <c r="F928" s="163" t="s">
        <v>17</v>
      </c>
      <c r="G928" s="164">
        <v>100</v>
      </c>
      <c r="H928" s="153">
        <f t="shared" si="32"/>
        <v>400</v>
      </c>
      <c r="I928" s="451">
        <f t="shared" si="34"/>
        <v>0</v>
      </c>
      <c r="J928" s="492">
        <f t="shared" si="33"/>
        <v>400</v>
      </c>
      <c r="K928" s="325"/>
      <c r="L928" s="326"/>
    </row>
    <row r="929" spans="1:13" ht="20.25" customHeight="1" x14ac:dyDescent="0.2">
      <c r="A929" s="108">
        <v>925</v>
      </c>
      <c r="B929" s="171" t="s">
        <v>4657</v>
      </c>
      <c r="C929" s="110" t="s">
        <v>4658</v>
      </c>
      <c r="D929" s="111" t="s">
        <v>4659</v>
      </c>
      <c r="E929" s="112" t="s">
        <v>4660</v>
      </c>
      <c r="F929" s="113" t="s">
        <v>8</v>
      </c>
      <c r="G929" s="119">
        <v>100</v>
      </c>
      <c r="H929" s="120">
        <f t="shared" si="32"/>
        <v>400</v>
      </c>
      <c r="I929" s="452">
        <f>+(0+605)/4</f>
        <v>151.25</v>
      </c>
      <c r="J929" s="490">
        <f t="shared" si="33"/>
        <v>551.25</v>
      </c>
      <c r="K929" s="327"/>
      <c r="L929" s="328"/>
    </row>
    <row r="930" spans="1:13" ht="20.25" customHeight="1" x14ac:dyDescent="0.2">
      <c r="A930" s="114">
        <v>926</v>
      </c>
      <c r="B930" s="1" t="s">
        <v>4661</v>
      </c>
      <c r="C930" s="6" t="s">
        <v>4662</v>
      </c>
      <c r="D930" s="7" t="s">
        <v>4663</v>
      </c>
      <c r="E930" s="2" t="s">
        <v>4660</v>
      </c>
      <c r="F930" s="99" t="s">
        <v>11</v>
      </c>
      <c r="G930" s="121">
        <v>200</v>
      </c>
      <c r="H930" s="122">
        <f t="shared" si="32"/>
        <v>300</v>
      </c>
      <c r="I930" s="450">
        <f>+(0+605)/4</f>
        <v>151.25</v>
      </c>
      <c r="J930" s="491">
        <f t="shared" si="33"/>
        <v>451.25</v>
      </c>
      <c r="K930" s="323"/>
      <c r="L930" s="324"/>
    </row>
    <row r="931" spans="1:13" ht="20.25" customHeight="1" x14ac:dyDescent="0.2">
      <c r="A931" s="114">
        <v>927</v>
      </c>
      <c r="B931" s="1" t="s">
        <v>4664</v>
      </c>
      <c r="C931" s="6" t="s">
        <v>4665</v>
      </c>
      <c r="D931" s="7" t="s">
        <v>4666</v>
      </c>
      <c r="E931" s="2" t="s">
        <v>4660</v>
      </c>
      <c r="F931" s="99" t="s">
        <v>14</v>
      </c>
      <c r="G931" s="121">
        <v>100</v>
      </c>
      <c r="H931" s="122">
        <f t="shared" si="32"/>
        <v>400</v>
      </c>
      <c r="I931" s="450">
        <f>+(0+605)/4</f>
        <v>151.25</v>
      </c>
      <c r="J931" s="491">
        <f t="shared" si="33"/>
        <v>551.25</v>
      </c>
      <c r="K931" s="323"/>
      <c r="L931" s="324"/>
    </row>
    <row r="932" spans="1:13" ht="20.25" customHeight="1" thickBot="1" x14ac:dyDescent="0.25">
      <c r="A932" s="158">
        <v>928</v>
      </c>
      <c r="B932" s="159" t="s">
        <v>4667</v>
      </c>
      <c r="C932" s="160" t="s">
        <v>3312</v>
      </c>
      <c r="D932" s="161" t="s">
        <v>4668</v>
      </c>
      <c r="E932" s="162" t="s">
        <v>4660</v>
      </c>
      <c r="F932" s="163" t="s">
        <v>17</v>
      </c>
      <c r="G932" s="164">
        <v>100</v>
      </c>
      <c r="H932" s="153">
        <f t="shared" si="32"/>
        <v>400</v>
      </c>
      <c r="I932" s="451">
        <f>+(0+605)/4</f>
        <v>151.25</v>
      </c>
      <c r="J932" s="492">
        <f t="shared" si="33"/>
        <v>551.25</v>
      </c>
      <c r="K932" s="325"/>
      <c r="L932" s="326"/>
    </row>
    <row r="933" spans="1:13" ht="20.25" customHeight="1" x14ac:dyDescent="0.2">
      <c r="A933" s="108">
        <v>929</v>
      </c>
      <c r="B933" s="171" t="s">
        <v>4669</v>
      </c>
      <c r="C933" s="110" t="s">
        <v>4502</v>
      </c>
      <c r="D933" s="111" t="s">
        <v>4670</v>
      </c>
      <c r="E933" s="112" t="s">
        <v>4671</v>
      </c>
      <c r="F933" s="113" t="s">
        <v>8</v>
      </c>
      <c r="G933" s="119">
        <v>50</v>
      </c>
      <c r="H933" s="120">
        <f t="shared" si="32"/>
        <v>450</v>
      </c>
      <c r="I933" s="452">
        <f>+(0+0)/4</f>
        <v>0</v>
      </c>
      <c r="J933" s="490">
        <f t="shared" si="33"/>
        <v>450</v>
      </c>
      <c r="K933" s="327"/>
      <c r="L933" s="328"/>
    </row>
    <row r="934" spans="1:13" ht="20.25" customHeight="1" x14ac:dyDescent="0.2">
      <c r="A934" s="114">
        <v>930</v>
      </c>
      <c r="B934" s="1" t="s">
        <v>4672</v>
      </c>
      <c r="C934" s="6" t="s">
        <v>4673</v>
      </c>
      <c r="D934" s="7" t="s">
        <v>4674</v>
      </c>
      <c r="E934" s="2" t="s">
        <v>4671</v>
      </c>
      <c r="F934" s="99" t="s">
        <v>11</v>
      </c>
      <c r="G934" s="121">
        <v>50</v>
      </c>
      <c r="H934" s="122">
        <f t="shared" si="32"/>
        <v>450</v>
      </c>
      <c r="I934" s="450">
        <f>+(0+0)/4</f>
        <v>0</v>
      </c>
      <c r="J934" s="491">
        <f t="shared" si="33"/>
        <v>450</v>
      </c>
      <c r="K934" s="323"/>
      <c r="L934" s="324"/>
    </row>
    <row r="935" spans="1:13" ht="20.25" customHeight="1" x14ac:dyDescent="0.2">
      <c r="A935" s="114">
        <v>931</v>
      </c>
      <c r="B935" s="1" t="s">
        <v>4675</v>
      </c>
      <c r="C935" s="6" t="s">
        <v>2551</v>
      </c>
      <c r="D935" s="7" t="s">
        <v>4676</v>
      </c>
      <c r="E935" s="2" t="s">
        <v>4671</v>
      </c>
      <c r="F935" s="99" t="s">
        <v>14</v>
      </c>
      <c r="G935" s="121">
        <v>50</v>
      </c>
      <c r="H935" s="122">
        <f t="shared" si="32"/>
        <v>450</v>
      </c>
      <c r="I935" s="450">
        <f>+(0+0)/4</f>
        <v>0</v>
      </c>
      <c r="J935" s="491">
        <f t="shared" si="33"/>
        <v>450</v>
      </c>
      <c r="K935" s="323"/>
      <c r="L935" s="324"/>
    </row>
    <row r="936" spans="1:13" ht="20.25" customHeight="1" thickBot="1" x14ac:dyDescent="0.25">
      <c r="A936" s="158">
        <v>932</v>
      </c>
      <c r="B936" s="159" t="s">
        <v>4677</v>
      </c>
      <c r="C936" s="160" t="s">
        <v>4678</v>
      </c>
      <c r="D936" s="161" t="s">
        <v>4679</v>
      </c>
      <c r="E936" s="162" t="s">
        <v>4671</v>
      </c>
      <c r="F936" s="163" t="s">
        <v>17</v>
      </c>
      <c r="G936" s="164">
        <v>100</v>
      </c>
      <c r="H936" s="153">
        <f t="shared" si="32"/>
        <v>400</v>
      </c>
      <c r="I936" s="451">
        <f>+(0+0)/4</f>
        <v>0</v>
      </c>
      <c r="J936" s="492">
        <f t="shared" si="33"/>
        <v>400</v>
      </c>
      <c r="K936" s="325"/>
      <c r="L936" s="326"/>
    </row>
    <row r="937" spans="1:13" ht="20.25" customHeight="1" x14ac:dyDescent="0.2">
      <c r="A937" s="165">
        <v>933</v>
      </c>
      <c r="B937" s="166" t="s">
        <v>4680</v>
      </c>
      <c r="C937" s="241" t="s">
        <v>4681</v>
      </c>
      <c r="D937" s="168" t="s">
        <v>4682</v>
      </c>
      <c r="E937" s="169" t="s">
        <v>4683</v>
      </c>
      <c r="F937" s="167" t="s">
        <v>8</v>
      </c>
      <c r="G937" s="170">
        <v>150</v>
      </c>
      <c r="H937" s="246">
        <f t="shared" si="32"/>
        <v>350</v>
      </c>
      <c r="I937" s="293">
        <f>+(0-3535)/4</f>
        <v>-883.75</v>
      </c>
      <c r="J937" s="500">
        <f t="shared" si="33"/>
        <v>-533.75</v>
      </c>
      <c r="K937" s="321" t="s">
        <v>5720</v>
      </c>
      <c r="L937" s="341"/>
    </row>
    <row r="938" spans="1:13" s="37" customFormat="1" ht="20.25" customHeight="1" x14ac:dyDescent="0.2">
      <c r="A938" s="116">
        <v>934</v>
      </c>
      <c r="B938" s="46" t="s">
        <v>4684</v>
      </c>
      <c r="C938" s="29" t="s">
        <v>4685</v>
      </c>
      <c r="D938" s="28" t="s">
        <v>4686</v>
      </c>
      <c r="E938" s="30" t="s">
        <v>4683</v>
      </c>
      <c r="F938" s="73" t="s">
        <v>11</v>
      </c>
      <c r="G938" s="126">
        <v>150</v>
      </c>
      <c r="H938" s="127">
        <f t="shared" si="32"/>
        <v>350</v>
      </c>
      <c r="I938" s="294">
        <f>+(0-3535)/4</f>
        <v>-883.75</v>
      </c>
      <c r="J938" s="497">
        <f t="shared" si="33"/>
        <v>-533.75</v>
      </c>
      <c r="K938" s="333" t="s">
        <v>4996</v>
      </c>
      <c r="L938" s="349" t="s">
        <v>5721</v>
      </c>
      <c r="M938" s="248"/>
    </row>
    <row r="939" spans="1:13" ht="20.25" customHeight="1" x14ac:dyDescent="0.2">
      <c r="A939" s="116">
        <v>935</v>
      </c>
      <c r="B939" s="46" t="s">
        <v>4687</v>
      </c>
      <c r="C939" s="29" t="s">
        <v>4688</v>
      </c>
      <c r="D939" s="28" t="s">
        <v>4689</v>
      </c>
      <c r="E939" s="30" t="s">
        <v>4683</v>
      </c>
      <c r="F939" s="73" t="s">
        <v>14</v>
      </c>
      <c r="G939" s="126">
        <v>150</v>
      </c>
      <c r="H939" s="127">
        <f t="shared" si="32"/>
        <v>350</v>
      </c>
      <c r="I939" s="294">
        <f>+(0-3535)/4</f>
        <v>-883.75</v>
      </c>
      <c r="J939" s="497">
        <f t="shared" si="33"/>
        <v>-533.75</v>
      </c>
      <c r="K939" s="333" t="s">
        <v>5720</v>
      </c>
      <c r="L939" s="334"/>
    </row>
    <row r="940" spans="1:13" ht="20.25" customHeight="1" thickBot="1" x14ac:dyDescent="0.25">
      <c r="A940" s="147">
        <v>936</v>
      </c>
      <c r="B940" s="148" t="s">
        <v>4690</v>
      </c>
      <c r="C940" s="198" t="s">
        <v>3403</v>
      </c>
      <c r="D940" s="150" t="s">
        <v>4691</v>
      </c>
      <c r="E940" s="151" t="s">
        <v>4683</v>
      </c>
      <c r="F940" s="149" t="s">
        <v>17</v>
      </c>
      <c r="G940" s="152">
        <v>100</v>
      </c>
      <c r="H940" s="247">
        <f t="shared" si="32"/>
        <v>400</v>
      </c>
      <c r="I940" s="295">
        <f>+(0-3535)/4</f>
        <v>-883.75</v>
      </c>
      <c r="J940" s="495">
        <f t="shared" si="33"/>
        <v>-483.75</v>
      </c>
      <c r="K940" s="331" t="s">
        <v>5720</v>
      </c>
      <c r="L940" s="332"/>
    </row>
    <row r="941" spans="1:13" ht="20.25" customHeight="1" x14ac:dyDescent="0.2">
      <c r="A941" s="108">
        <v>937</v>
      </c>
      <c r="B941" s="171" t="s">
        <v>4692</v>
      </c>
      <c r="C941" s="110" t="s">
        <v>4693</v>
      </c>
      <c r="D941" s="111" t="s">
        <v>4694</v>
      </c>
      <c r="E941" s="112" t="s">
        <v>4695</v>
      </c>
      <c r="F941" s="113" t="s">
        <v>8</v>
      </c>
      <c r="G941" s="119">
        <v>150</v>
      </c>
      <c r="H941" s="120">
        <f t="shared" si="32"/>
        <v>350</v>
      </c>
      <c r="I941" s="452">
        <f>+(0+0)/4</f>
        <v>0</v>
      </c>
      <c r="J941" s="490">
        <f t="shared" si="33"/>
        <v>350</v>
      </c>
      <c r="K941" s="327"/>
      <c r="L941" s="328"/>
    </row>
    <row r="942" spans="1:13" ht="20.25" customHeight="1" x14ac:dyDescent="0.2">
      <c r="A942" s="114">
        <v>938</v>
      </c>
      <c r="B942" s="1" t="s">
        <v>4696</v>
      </c>
      <c r="C942" s="6" t="s">
        <v>4697</v>
      </c>
      <c r="D942" s="7" t="s">
        <v>4698</v>
      </c>
      <c r="E942" s="2" t="s">
        <v>4695</v>
      </c>
      <c r="F942" s="99" t="s">
        <v>11</v>
      </c>
      <c r="G942" s="121">
        <v>200</v>
      </c>
      <c r="H942" s="122">
        <f t="shared" si="32"/>
        <v>300</v>
      </c>
      <c r="I942" s="450">
        <f>+(0+0)/4</f>
        <v>0</v>
      </c>
      <c r="J942" s="491">
        <f t="shared" si="33"/>
        <v>300</v>
      </c>
      <c r="K942" s="323"/>
      <c r="L942" s="324"/>
    </row>
    <row r="943" spans="1:13" ht="20.25" customHeight="1" x14ac:dyDescent="0.2">
      <c r="A943" s="114">
        <v>939</v>
      </c>
      <c r="B943" s="1" t="s">
        <v>4699</v>
      </c>
      <c r="C943" s="6" t="s">
        <v>2315</v>
      </c>
      <c r="D943" s="7" t="s">
        <v>4700</v>
      </c>
      <c r="E943" s="2" t="s">
        <v>4695</v>
      </c>
      <c r="F943" s="99" t="s">
        <v>14</v>
      </c>
      <c r="G943" s="121">
        <v>100</v>
      </c>
      <c r="H943" s="122">
        <f t="shared" si="32"/>
        <v>400</v>
      </c>
      <c r="I943" s="450">
        <f>+(0+0)/4</f>
        <v>0</v>
      </c>
      <c r="J943" s="491">
        <f t="shared" si="33"/>
        <v>400</v>
      </c>
      <c r="K943" s="323"/>
      <c r="L943" s="324"/>
    </row>
    <row r="944" spans="1:13" ht="20.25" customHeight="1" thickBot="1" x14ac:dyDescent="0.25">
      <c r="A944" s="158">
        <v>940</v>
      </c>
      <c r="B944" s="159" t="s">
        <v>4701</v>
      </c>
      <c r="C944" s="160" t="s">
        <v>4702</v>
      </c>
      <c r="D944" s="161" t="s">
        <v>4703</v>
      </c>
      <c r="E944" s="162" t="s">
        <v>4695</v>
      </c>
      <c r="F944" s="163" t="s">
        <v>17</v>
      </c>
      <c r="G944" s="164">
        <v>150</v>
      </c>
      <c r="H944" s="153">
        <f t="shared" si="32"/>
        <v>350</v>
      </c>
      <c r="I944" s="451">
        <f>+(0+0)/4</f>
        <v>0</v>
      </c>
      <c r="J944" s="492">
        <f t="shared" si="33"/>
        <v>350</v>
      </c>
      <c r="K944" s="325"/>
      <c r="L944" s="326"/>
    </row>
    <row r="945" spans="1:12" ht="20.25" customHeight="1" x14ac:dyDescent="0.2">
      <c r="A945" s="108">
        <v>941</v>
      </c>
      <c r="B945" s="171" t="s">
        <v>4704</v>
      </c>
      <c r="C945" s="110" t="s">
        <v>4705</v>
      </c>
      <c r="D945" s="111" t="s">
        <v>4451</v>
      </c>
      <c r="E945" s="112" t="s">
        <v>4706</v>
      </c>
      <c r="F945" s="113" t="s">
        <v>8</v>
      </c>
      <c r="G945" s="119">
        <v>50</v>
      </c>
      <c r="H945" s="120">
        <f t="shared" si="32"/>
        <v>450</v>
      </c>
      <c r="I945" s="452">
        <f>+(0+315)/4</f>
        <v>78.75</v>
      </c>
      <c r="J945" s="490">
        <f t="shared" si="33"/>
        <v>528.75</v>
      </c>
      <c r="K945" s="327"/>
      <c r="L945" s="328"/>
    </row>
    <row r="946" spans="1:12" ht="20.25" customHeight="1" x14ac:dyDescent="0.2">
      <c r="A946" s="114">
        <v>942</v>
      </c>
      <c r="B946" s="1" t="s">
        <v>4707</v>
      </c>
      <c r="C946" s="6" t="s">
        <v>4708</v>
      </c>
      <c r="D946" s="7" t="s">
        <v>4709</v>
      </c>
      <c r="E946" s="2" t="s">
        <v>4706</v>
      </c>
      <c r="F946" s="99" t="s">
        <v>11</v>
      </c>
      <c r="G946" s="121">
        <v>50</v>
      </c>
      <c r="H946" s="122">
        <f t="shared" si="32"/>
        <v>450</v>
      </c>
      <c r="I946" s="450">
        <f>+(0+315)/4</f>
        <v>78.75</v>
      </c>
      <c r="J946" s="491">
        <f t="shared" si="33"/>
        <v>528.75</v>
      </c>
      <c r="K946" s="323"/>
      <c r="L946" s="324"/>
    </row>
    <row r="947" spans="1:12" ht="20.25" customHeight="1" x14ac:dyDescent="0.2">
      <c r="A947" s="114">
        <v>943</v>
      </c>
      <c r="B947" s="1" t="s">
        <v>4710</v>
      </c>
      <c r="C947" s="6" t="s">
        <v>4711</v>
      </c>
      <c r="D947" s="7" t="s">
        <v>4712</v>
      </c>
      <c r="E947" s="2" t="s">
        <v>4706</v>
      </c>
      <c r="F947" s="99" t="s">
        <v>14</v>
      </c>
      <c r="G947" s="121">
        <v>100</v>
      </c>
      <c r="H947" s="122">
        <f t="shared" si="32"/>
        <v>400</v>
      </c>
      <c r="I947" s="450">
        <f>+(0+315)/4</f>
        <v>78.75</v>
      </c>
      <c r="J947" s="491">
        <f t="shared" si="33"/>
        <v>478.75</v>
      </c>
      <c r="K947" s="323"/>
      <c r="L947" s="324"/>
    </row>
    <row r="948" spans="1:12" ht="20.25" customHeight="1" thickBot="1" x14ac:dyDescent="0.25">
      <c r="A948" s="158">
        <v>944</v>
      </c>
      <c r="B948" s="159" t="s">
        <v>4713</v>
      </c>
      <c r="C948" s="160" t="s">
        <v>4714</v>
      </c>
      <c r="D948" s="161" t="s">
        <v>4715</v>
      </c>
      <c r="E948" s="162" t="s">
        <v>4706</v>
      </c>
      <c r="F948" s="163" t="s">
        <v>17</v>
      </c>
      <c r="G948" s="164">
        <v>50</v>
      </c>
      <c r="H948" s="153">
        <f t="shared" si="32"/>
        <v>450</v>
      </c>
      <c r="I948" s="451">
        <f>+(0+315)/4</f>
        <v>78.75</v>
      </c>
      <c r="J948" s="492">
        <f t="shared" si="33"/>
        <v>528.75</v>
      </c>
      <c r="K948" s="325"/>
      <c r="L948" s="326"/>
    </row>
    <row r="949" spans="1:12" ht="20.25" customHeight="1" x14ac:dyDescent="0.2">
      <c r="A949" s="108">
        <v>945</v>
      </c>
      <c r="B949" s="171" t="s">
        <v>4716</v>
      </c>
      <c r="C949" s="110" t="s">
        <v>2222</v>
      </c>
      <c r="D949" s="111" t="s">
        <v>4717</v>
      </c>
      <c r="E949" s="112" t="s">
        <v>4718</v>
      </c>
      <c r="F949" s="113" t="s">
        <v>8</v>
      </c>
      <c r="G949" s="119">
        <v>50</v>
      </c>
      <c r="H949" s="120">
        <f t="shared" si="32"/>
        <v>450</v>
      </c>
      <c r="I949" s="452">
        <f>+(0+0)/4</f>
        <v>0</v>
      </c>
      <c r="J949" s="490">
        <f t="shared" si="33"/>
        <v>450</v>
      </c>
      <c r="K949" s="327"/>
      <c r="L949" s="328"/>
    </row>
    <row r="950" spans="1:12" ht="20.25" customHeight="1" x14ac:dyDescent="0.2">
      <c r="A950" s="114">
        <v>946</v>
      </c>
      <c r="B950" s="1" t="s">
        <v>4719</v>
      </c>
      <c r="C950" s="6" t="s">
        <v>4720</v>
      </c>
      <c r="D950" s="7" t="s">
        <v>4721</v>
      </c>
      <c r="E950" s="2" t="s">
        <v>4718</v>
      </c>
      <c r="F950" s="99" t="s">
        <v>11</v>
      </c>
      <c r="G950" s="121">
        <v>50</v>
      </c>
      <c r="H950" s="122">
        <f t="shared" si="32"/>
        <v>450</v>
      </c>
      <c r="I950" s="450">
        <f>+(0+0)/4</f>
        <v>0</v>
      </c>
      <c r="J950" s="491">
        <f t="shared" si="33"/>
        <v>450</v>
      </c>
      <c r="K950" s="323"/>
      <c r="L950" s="324"/>
    </row>
    <row r="951" spans="1:12" ht="20.25" customHeight="1" x14ac:dyDescent="0.2">
      <c r="A951" s="114">
        <v>947</v>
      </c>
      <c r="B951" s="1" t="s">
        <v>4722</v>
      </c>
      <c r="C951" s="6" t="s">
        <v>4723</v>
      </c>
      <c r="D951" s="7" t="s">
        <v>4724</v>
      </c>
      <c r="E951" s="2" t="s">
        <v>4718</v>
      </c>
      <c r="F951" s="99" t="s">
        <v>14</v>
      </c>
      <c r="G951" s="121">
        <v>50</v>
      </c>
      <c r="H951" s="122">
        <f t="shared" si="32"/>
        <v>450</v>
      </c>
      <c r="I951" s="450">
        <f>+(0+0)/4</f>
        <v>0</v>
      </c>
      <c r="J951" s="491">
        <f t="shared" si="33"/>
        <v>450</v>
      </c>
      <c r="K951" s="323"/>
      <c r="L951" s="324"/>
    </row>
    <row r="952" spans="1:12" ht="21.75" customHeight="1" thickBot="1" x14ac:dyDescent="0.25">
      <c r="A952" s="158">
        <v>948</v>
      </c>
      <c r="B952" s="159" t="s">
        <v>4725</v>
      </c>
      <c r="C952" s="160" t="s">
        <v>2787</v>
      </c>
      <c r="D952" s="161" t="s">
        <v>4726</v>
      </c>
      <c r="E952" s="162" t="s">
        <v>4718</v>
      </c>
      <c r="F952" s="163" t="s">
        <v>17</v>
      </c>
      <c r="G952" s="164">
        <v>50</v>
      </c>
      <c r="H952" s="153">
        <f t="shared" si="32"/>
        <v>450</v>
      </c>
      <c r="I952" s="451">
        <f>+(0+0)/4</f>
        <v>0</v>
      </c>
      <c r="J952" s="492">
        <f t="shared" si="33"/>
        <v>450</v>
      </c>
      <c r="K952" s="325"/>
      <c r="L952" s="326"/>
    </row>
    <row r="953" spans="1:12" s="37" customFormat="1" ht="20.25" customHeight="1" x14ac:dyDescent="0.2">
      <c r="A953" s="165">
        <v>949</v>
      </c>
      <c r="B953" s="166" t="s">
        <v>4727</v>
      </c>
      <c r="C953" s="241" t="s">
        <v>4728</v>
      </c>
      <c r="D953" s="168" t="s">
        <v>185</v>
      </c>
      <c r="E953" s="169" t="s">
        <v>4729</v>
      </c>
      <c r="F953" s="167" t="s">
        <v>8</v>
      </c>
      <c r="G953" s="170">
        <v>50</v>
      </c>
      <c r="H953" s="246">
        <f t="shared" si="32"/>
        <v>450</v>
      </c>
      <c r="I953" s="293">
        <f>+(0+1135)/4</f>
        <v>283.75</v>
      </c>
      <c r="J953" s="500">
        <f t="shared" si="33"/>
        <v>733.75</v>
      </c>
      <c r="K953" s="321" t="s">
        <v>4996</v>
      </c>
      <c r="L953" s="341">
        <v>6280</v>
      </c>
    </row>
    <row r="954" spans="1:12" ht="20.25" customHeight="1" x14ac:dyDescent="0.2">
      <c r="A954" s="114">
        <v>950</v>
      </c>
      <c r="B954" s="1" t="s">
        <v>4730</v>
      </c>
      <c r="C954" s="6" t="s">
        <v>2263</v>
      </c>
      <c r="D954" s="7" t="s">
        <v>696</v>
      </c>
      <c r="E954" s="2" t="s">
        <v>4729</v>
      </c>
      <c r="F954" s="99" t="s">
        <v>11</v>
      </c>
      <c r="G954" s="121">
        <v>50</v>
      </c>
      <c r="H954" s="122">
        <f t="shared" si="32"/>
        <v>450</v>
      </c>
      <c r="I954" s="450">
        <f>+(0+1135)/4</f>
        <v>283.75</v>
      </c>
      <c r="J954" s="491">
        <f t="shared" si="33"/>
        <v>733.75</v>
      </c>
      <c r="K954" s="323"/>
      <c r="L954" s="324"/>
    </row>
    <row r="955" spans="1:12" ht="20.25" customHeight="1" x14ac:dyDescent="0.2">
      <c r="A955" s="114">
        <v>951</v>
      </c>
      <c r="B955" s="1" t="s">
        <v>4731</v>
      </c>
      <c r="C955" s="6" t="s">
        <v>4732</v>
      </c>
      <c r="D955" s="7" t="s">
        <v>4733</v>
      </c>
      <c r="E955" s="2" t="s">
        <v>4729</v>
      </c>
      <c r="F955" s="99" t="s">
        <v>14</v>
      </c>
      <c r="G955" s="121">
        <v>50</v>
      </c>
      <c r="H955" s="122">
        <f t="shared" si="32"/>
        <v>450</v>
      </c>
      <c r="I955" s="450">
        <f>+(0+1135)/4</f>
        <v>283.75</v>
      </c>
      <c r="J955" s="491">
        <f t="shared" si="33"/>
        <v>733.75</v>
      </c>
      <c r="K955" s="323"/>
      <c r="L955" s="324"/>
    </row>
    <row r="956" spans="1:12" ht="20.25" customHeight="1" thickBot="1" x14ac:dyDescent="0.25">
      <c r="A956" s="158">
        <v>952</v>
      </c>
      <c r="B956" s="159" t="s">
        <v>4734</v>
      </c>
      <c r="C956" s="160" t="s">
        <v>3227</v>
      </c>
      <c r="D956" s="161" t="s">
        <v>4735</v>
      </c>
      <c r="E956" s="162" t="s">
        <v>4729</v>
      </c>
      <c r="F956" s="163" t="s">
        <v>17</v>
      </c>
      <c r="G956" s="164">
        <v>50</v>
      </c>
      <c r="H956" s="153">
        <f t="shared" si="32"/>
        <v>450</v>
      </c>
      <c r="I956" s="451">
        <f>+(0+1135)/4</f>
        <v>283.75</v>
      </c>
      <c r="J956" s="492">
        <f t="shared" si="33"/>
        <v>733.75</v>
      </c>
      <c r="K956" s="325"/>
      <c r="L956" s="326"/>
    </row>
    <row r="957" spans="1:12" ht="20.25" customHeight="1" x14ac:dyDescent="0.2">
      <c r="A957" s="165">
        <v>953</v>
      </c>
      <c r="B957" s="166" t="s">
        <v>4736</v>
      </c>
      <c r="C957" s="241" t="s">
        <v>2423</v>
      </c>
      <c r="D957" s="168" t="s">
        <v>4737</v>
      </c>
      <c r="E957" s="169" t="s">
        <v>4738</v>
      </c>
      <c r="F957" s="167" t="s">
        <v>8</v>
      </c>
      <c r="G957" s="170">
        <v>150</v>
      </c>
      <c r="H957" s="246">
        <f t="shared" si="32"/>
        <v>350</v>
      </c>
      <c r="I957" s="293">
        <f>+(-4250+-2990)/4</f>
        <v>-1810</v>
      </c>
      <c r="J957" s="500">
        <f t="shared" si="33"/>
        <v>-1460</v>
      </c>
      <c r="K957" s="321" t="s">
        <v>5720</v>
      </c>
      <c r="L957" s="341"/>
    </row>
    <row r="958" spans="1:12" ht="20.25" customHeight="1" x14ac:dyDescent="0.2">
      <c r="A958" s="116">
        <v>954</v>
      </c>
      <c r="B958" s="46" t="s">
        <v>4739</v>
      </c>
      <c r="C958" s="29" t="s">
        <v>4740</v>
      </c>
      <c r="D958" s="28" t="s">
        <v>4741</v>
      </c>
      <c r="E958" s="30" t="s">
        <v>4738</v>
      </c>
      <c r="F958" s="73" t="s">
        <v>11</v>
      </c>
      <c r="G958" s="126">
        <v>200</v>
      </c>
      <c r="H958" s="127">
        <f t="shared" si="32"/>
        <v>300</v>
      </c>
      <c r="I958" s="294">
        <f>+(-4250+-2990)/4</f>
        <v>-1810</v>
      </c>
      <c r="J958" s="497">
        <f t="shared" si="33"/>
        <v>-1510</v>
      </c>
      <c r="K958" s="333" t="s">
        <v>5720</v>
      </c>
      <c r="L958" s="334"/>
    </row>
    <row r="959" spans="1:12" ht="20.25" customHeight="1" x14ac:dyDescent="0.2">
      <c r="A959" s="116">
        <v>955</v>
      </c>
      <c r="B959" s="46" t="s">
        <v>4742</v>
      </c>
      <c r="C959" s="29" t="s">
        <v>4743</v>
      </c>
      <c r="D959" s="28" t="s">
        <v>4744</v>
      </c>
      <c r="E959" s="30" t="s">
        <v>4738</v>
      </c>
      <c r="F959" s="73" t="s">
        <v>14</v>
      </c>
      <c r="G959" s="126">
        <v>150</v>
      </c>
      <c r="H959" s="127">
        <f t="shared" si="32"/>
        <v>350</v>
      </c>
      <c r="I959" s="294">
        <f>+(-4250+-2990)/4</f>
        <v>-1810</v>
      </c>
      <c r="J959" s="497">
        <f t="shared" si="33"/>
        <v>-1460</v>
      </c>
      <c r="K959" s="333" t="s">
        <v>5720</v>
      </c>
      <c r="L959" s="334"/>
    </row>
    <row r="960" spans="1:12" ht="20.25" customHeight="1" thickBot="1" x14ac:dyDescent="0.25">
      <c r="A960" s="147">
        <v>956</v>
      </c>
      <c r="B960" s="148" t="s">
        <v>4745</v>
      </c>
      <c r="C960" s="198" t="s">
        <v>2899</v>
      </c>
      <c r="D960" s="150" t="s">
        <v>4746</v>
      </c>
      <c r="E960" s="151" t="s">
        <v>4738</v>
      </c>
      <c r="F960" s="149" t="s">
        <v>17</v>
      </c>
      <c r="G960" s="152">
        <v>150</v>
      </c>
      <c r="H960" s="247">
        <f t="shared" si="32"/>
        <v>350</v>
      </c>
      <c r="I960" s="295">
        <f>+(-4250+-2990)/4</f>
        <v>-1810</v>
      </c>
      <c r="J960" s="495">
        <f t="shared" si="33"/>
        <v>-1460</v>
      </c>
      <c r="K960" s="331" t="s">
        <v>5720</v>
      </c>
      <c r="L960" s="332"/>
    </row>
    <row r="961" spans="1:14" ht="20.25" customHeight="1" x14ac:dyDescent="0.2">
      <c r="A961" s="108">
        <v>957</v>
      </c>
      <c r="B961" s="249"/>
      <c r="C961" s="250" t="s">
        <v>4876</v>
      </c>
      <c r="D961" s="251"/>
      <c r="E961" s="189" t="s">
        <v>4750</v>
      </c>
      <c r="F961" s="190" t="s">
        <v>8</v>
      </c>
      <c r="G961" s="225">
        <v>0</v>
      </c>
      <c r="H961" s="191"/>
      <c r="I961" s="287"/>
      <c r="J961" s="490">
        <f t="shared" si="33"/>
        <v>0</v>
      </c>
      <c r="K961" s="330" t="s">
        <v>4876</v>
      </c>
      <c r="L961" s="328"/>
    </row>
    <row r="962" spans="1:14" ht="20.25" customHeight="1" x14ac:dyDescent="0.2">
      <c r="A962" s="114">
        <v>958</v>
      </c>
      <c r="B962" s="87"/>
      <c r="C962" s="88" t="s">
        <v>4876</v>
      </c>
      <c r="D962" s="89"/>
      <c r="E962" s="83" t="s">
        <v>4750</v>
      </c>
      <c r="F962" s="85" t="s">
        <v>11</v>
      </c>
      <c r="G962" s="156">
        <v>0</v>
      </c>
      <c r="H962" s="155"/>
      <c r="I962" s="292"/>
      <c r="J962" s="491">
        <f t="shared" si="33"/>
        <v>0</v>
      </c>
      <c r="K962" s="338" t="s">
        <v>4876</v>
      </c>
      <c r="L962" s="324"/>
    </row>
    <row r="963" spans="1:14" ht="20.25" customHeight="1" x14ac:dyDescent="0.2">
      <c r="A963" s="114">
        <v>959</v>
      </c>
      <c r="B963" s="1" t="s">
        <v>4747</v>
      </c>
      <c r="C963" s="6" t="s">
        <v>4748</v>
      </c>
      <c r="D963" s="7" t="s">
        <v>4749</v>
      </c>
      <c r="E963" s="2" t="s">
        <v>4750</v>
      </c>
      <c r="F963" s="99" t="s">
        <v>14</v>
      </c>
      <c r="G963" s="121">
        <v>100</v>
      </c>
      <c r="H963" s="122">
        <f t="shared" si="32"/>
        <v>400</v>
      </c>
      <c r="I963" s="450">
        <f>+(0+0)/2</f>
        <v>0</v>
      </c>
      <c r="J963" s="491">
        <f t="shared" si="33"/>
        <v>400</v>
      </c>
      <c r="K963" s="323"/>
      <c r="L963" s="324"/>
    </row>
    <row r="964" spans="1:14" ht="20.25" customHeight="1" thickBot="1" x14ac:dyDescent="0.25">
      <c r="A964" s="158">
        <v>960</v>
      </c>
      <c r="B964" s="159" t="s">
        <v>4751</v>
      </c>
      <c r="C964" s="160" t="s">
        <v>4752</v>
      </c>
      <c r="D964" s="161" t="s">
        <v>4753</v>
      </c>
      <c r="E964" s="162" t="s">
        <v>4750</v>
      </c>
      <c r="F964" s="163" t="s">
        <v>17</v>
      </c>
      <c r="G964" s="164">
        <v>100</v>
      </c>
      <c r="H964" s="153">
        <f t="shared" si="32"/>
        <v>400</v>
      </c>
      <c r="I964" s="451">
        <f>+(0+0)/2</f>
        <v>0</v>
      </c>
      <c r="J964" s="492">
        <f t="shared" si="33"/>
        <v>400</v>
      </c>
      <c r="K964" s="325"/>
      <c r="L964" s="326"/>
    </row>
    <row r="965" spans="1:14" ht="20.25" customHeight="1" x14ac:dyDescent="0.2">
      <c r="A965" s="108">
        <v>961</v>
      </c>
      <c r="B965" s="171" t="s">
        <v>4754</v>
      </c>
      <c r="C965" s="110" t="s">
        <v>4755</v>
      </c>
      <c r="D965" s="111" t="s">
        <v>4756</v>
      </c>
      <c r="E965" s="112" t="s">
        <v>4757</v>
      </c>
      <c r="F965" s="113" t="s">
        <v>8</v>
      </c>
      <c r="G965" s="119">
        <v>100</v>
      </c>
      <c r="H965" s="120">
        <f t="shared" ref="H965:H1000" si="35">500-G965</f>
        <v>400</v>
      </c>
      <c r="I965" s="452">
        <f>+(0+0)/2</f>
        <v>0</v>
      </c>
      <c r="J965" s="490">
        <f t="shared" si="33"/>
        <v>400</v>
      </c>
      <c r="K965" s="327"/>
      <c r="L965" s="328"/>
    </row>
    <row r="966" spans="1:14" ht="20.25" customHeight="1" x14ac:dyDescent="0.2">
      <c r="A966" s="114">
        <v>962</v>
      </c>
      <c r="B966" s="84"/>
      <c r="C966" s="85" t="s">
        <v>4876</v>
      </c>
      <c r="D966" s="86"/>
      <c r="E966" s="83">
        <v>2828</v>
      </c>
      <c r="F966" s="85">
        <v>2</v>
      </c>
      <c r="G966" s="156">
        <v>0</v>
      </c>
      <c r="H966" s="155"/>
      <c r="I966" s="292"/>
      <c r="J966" s="491">
        <f t="shared" si="33"/>
        <v>0</v>
      </c>
      <c r="K966" s="338" t="s">
        <v>4876</v>
      </c>
      <c r="L966" s="324"/>
    </row>
    <row r="967" spans="1:14" ht="20.25" customHeight="1" x14ac:dyDescent="0.2">
      <c r="A967" s="114">
        <v>963</v>
      </c>
      <c r="B967" s="1" t="s">
        <v>4758</v>
      </c>
      <c r="C967" s="6" t="s">
        <v>2994</v>
      </c>
      <c r="D967" s="7" t="s">
        <v>4759</v>
      </c>
      <c r="E967" s="2" t="s">
        <v>4757</v>
      </c>
      <c r="F967" s="99" t="s">
        <v>14</v>
      </c>
      <c r="G967" s="121">
        <v>100</v>
      </c>
      <c r="H967" s="122">
        <f t="shared" si="35"/>
        <v>400</v>
      </c>
      <c r="I967" s="450">
        <f>+(0+0)/2</f>
        <v>0</v>
      </c>
      <c r="J967" s="491">
        <f t="shared" si="33"/>
        <v>400</v>
      </c>
      <c r="K967" s="323"/>
      <c r="L967" s="324"/>
    </row>
    <row r="968" spans="1:14" ht="20.25" customHeight="1" thickBot="1" x14ac:dyDescent="0.25">
      <c r="A968" s="158">
        <v>964</v>
      </c>
      <c r="B968" s="217"/>
      <c r="C968" s="218" t="s">
        <v>4876</v>
      </c>
      <c r="D968" s="219"/>
      <c r="E968" s="220" t="s">
        <v>4757</v>
      </c>
      <c r="F968" s="218">
        <v>4</v>
      </c>
      <c r="G968" s="221">
        <v>0</v>
      </c>
      <c r="H968" s="222"/>
      <c r="I968" s="291"/>
      <c r="J968" s="492">
        <f t="shared" si="33"/>
        <v>0</v>
      </c>
      <c r="K968" s="337" t="s">
        <v>4876</v>
      </c>
      <c r="L968" s="326"/>
    </row>
    <row r="969" spans="1:14" ht="20.25" customHeight="1" x14ac:dyDescent="0.2">
      <c r="A969" s="108">
        <v>965</v>
      </c>
      <c r="B969" s="171" t="s">
        <v>4760</v>
      </c>
      <c r="C969" s="110" t="s">
        <v>4761</v>
      </c>
      <c r="D969" s="111" t="s">
        <v>4762</v>
      </c>
      <c r="E969" s="112" t="s">
        <v>4763</v>
      </c>
      <c r="F969" s="113" t="s">
        <v>8</v>
      </c>
      <c r="G969" s="119">
        <v>50</v>
      </c>
      <c r="H969" s="120">
        <f t="shared" si="35"/>
        <v>450</v>
      </c>
      <c r="I969" s="452">
        <f t="shared" ref="I969:I980" si="36">+(0+0)/4</f>
        <v>0</v>
      </c>
      <c r="J969" s="490">
        <f t="shared" si="33"/>
        <v>450</v>
      </c>
      <c r="K969" s="327"/>
      <c r="L969" s="328"/>
    </row>
    <row r="970" spans="1:14" ht="20.25" customHeight="1" x14ac:dyDescent="0.2">
      <c r="A970" s="114">
        <v>966</v>
      </c>
      <c r="B970" s="1" t="s">
        <v>4764</v>
      </c>
      <c r="C970" s="6" t="s">
        <v>4765</v>
      </c>
      <c r="D970" s="7" t="s">
        <v>4766</v>
      </c>
      <c r="E970" s="2" t="s">
        <v>4763</v>
      </c>
      <c r="F970" s="99" t="s">
        <v>11</v>
      </c>
      <c r="G970" s="121">
        <v>50</v>
      </c>
      <c r="H970" s="122">
        <f t="shared" si="35"/>
        <v>450</v>
      </c>
      <c r="I970" s="450">
        <f t="shared" si="36"/>
        <v>0</v>
      </c>
      <c r="J970" s="491">
        <f t="shared" si="33"/>
        <v>450</v>
      </c>
      <c r="K970" s="323"/>
      <c r="L970" s="324"/>
    </row>
    <row r="971" spans="1:14" ht="20.25" customHeight="1" x14ac:dyDescent="0.2">
      <c r="A971" s="114">
        <v>967</v>
      </c>
      <c r="B971" s="1" t="s">
        <v>4767</v>
      </c>
      <c r="C971" s="6" t="s">
        <v>4768</v>
      </c>
      <c r="D971" s="7" t="s">
        <v>4769</v>
      </c>
      <c r="E971" s="2" t="s">
        <v>4763</v>
      </c>
      <c r="F971" s="99" t="s">
        <v>14</v>
      </c>
      <c r="G971" s="121">
        <v>100</v>
      </c>
      <c r="H971" s="122">
        <f t="shared" si="35"/>
        <v>400</v>
      </c>
      <c r="I971" s="450">
        <f t="shared" si="36"/>
        <v>0</v>
      </c>
      <c r="J971" s="491">
        <f t="shared" si="33"/>
        <v>400</v>
      </c>
      <c r="K971" s="323"/>
      <c r="L971" s="324"/>
    </row>
    <row r="972" spans="1:14" ht="20.25" customHeight="1" thickBot="1" x14ac:dyDescent="0.25">
      <c r="A972" s="158">
        <v>968</v>
      </c>
      <c r="B972" s="159" t="s">
        <v>4770</v>
      </c>
      <c r="C972" s="160" t="s">
        <v>4771</v>
      </c>
      <c r="D972" s="161" t="s">
        <v>4772</v>
      </c>
      <c r="E972" s="162" t="s">
        <v>4763</v>
      </c>
      <c r="F972" s="163" t="s">
        <v>17</v>
      </c>
      <c r="G972" s="164">
        <v>50</v>
      </c>
      <c r="H972" s="153">
        <f t="shared" si="35"/>
        <v>450</v>
      </c>
      <c r="I972" s="451">
        <f t="shared" si="36"/>
        <v>0</v>
      </c>
      <c r="J972" s="492">
        <f t="shared" si="33"/>
        <v>450</v>
      </c>
      <c r="K972" s="325"/>
      <c r="L972" s="326"/>
      <c r="N972" s="573"/>
    </row>
    <row r="973" spans="1:14" ht="20.25" customHeight="1" x14ac:dyDescent="0.2">
      <c r="A973" s="108">
        <v>969</v>
      </c>
      <c r="B973" s="171" t="s">
        <v>4773</v>
      </c>
      <c r="C973" s="110" t="s">
        <v>2333</v>
      </c>
      <c r="D973" s="111" t="s">
        <v>4774</v>
      </c>
      <c r="E973" s="112" t="s">
        <v>4775</v>
      </c>
      <c r="F973" s="113" t="s">
        <v>8</v>
      </c>
      <c r="G973" s="119">
        <v>100</v>
      </c>
      <c r="H973" s="120">
        <f t="shared" si="35"/>
        <v>400</v>
      </c>
      <c r="I973" s="452">
        <f t="shared" si="36"/>
        <v>0</v>
      </c>
      <c r="J973" s="490">
        <f t="shared" si="33"/>
        <v>400</v>
      </c>
      <c r="K973" s="327"/>
      <c r="L973" s="328"/>
      <c r="N973" s="573"/>
    </row>
    <row r="974" spans="1:14" ht="20.25" customHeight="1" x14ac:dyDescent="0.2">
      <c r="A974" s="114">
        <v>970</v>
      </c>
      <c r="B974" s="1" t="s">
        <v>4776</v>
      </c>
      <c r="C974" s="6" t="s">
        <v>4021</v>
      </c>
      <c r="D974" s="7" t="s">
        <v>4777</v>
      </c>
      <c r="E974" s="2" t="s">
        <v>4775</v>
      </c>
      <c r="F974" s="99" t="s">
        <v>11</v>
      </c>
      <c r="G974" s="121">
        <v>150</v>
      </c>
      <c r="H974" s="122">
        <f t="shared" si="35"/>
        <v>350</v>
      </c>
      <c r="I974" s="450">
        <f t="shared" si="36"/>
        <v>0</v>
      </c>
      <c r="J974" s="491">
        <f t="shared" si="33"/>
        <v>350</v>
      </c>
      <c r="K974" s="323"/>
      <c r="L974" s="324"/>
      <c r="N974" s="574"/>
    </row>
    <row r="975" spans="1:14" s="37" customFormat="1" ht="20.25" customHeight="1" x14ac:dyDescent="0.2">
      <c r="A975" s="116">
        <v>971</v>
      </c>
      <c r="B975" s="46" t="s">
        <v>4778</v>
      </c>
      <c r="C975" s="29" t="s">
        <v>2862</v>
      </c>
      <c r="D975" s="28" t="s">
        <v>4779</v>
      </c>
      <c r="E975" s="30" t="s">
        <v>4775</v>
      </c>
      <c r="F975" s="73" t="s">
        <v>14</v>
      </c>
      <c r="G975" s="126">
        <v>150</v>
      </c>
      <c r="H975" s="127">
        <f t="shared" si="35"/>
        <v>350</v>
      </c>
      <c r="I975" s="294">
        <f t="shared" si="36"/>
        <v>0</v>
      </c>
      <c r="J975" s="497">
        <f t="shared" si="33"/>
        <v>350</v>
      </c>
      <c r="K975" s="333" t="s">
        <v>4996</v>
      </c>
      <c r="L975" s="334">
        <v>1000</v>
      </c>
    </row>
    <row r="976" spans="1:14" ht="20.25" customHeight="1" thickBot="1" x14ac:dyDescent="0.25">
      <c r="A976" s="158">
        <v>972</v>
      </c>
      <c r="B976" s="159" t="s">
        <v>4780</v>
      </c>
      <c r="C976" s="160" t="s">
        <v>4781</v>
      </c>
      <c r="D976" s="161" t="s">
        <v>4782</v>
      </c>
      <c r="E976" s="162" t="s">
        <v>4775</v>
      </c>
      <c r="F976" s="163" t="s">
        <v>17</v>
      </c>
      <c r="G976" s="164">
        <v>150</v>
      </c>
      <c r="H976" s="153">
        <f t="shared" si="35"/>
        <v>350</v>
      </c>
      <c r="I976" s="451">
        <f t="shared" si="36"/>
        <v>0</v>
      </c>
      <c r="J976" s="492">
        <f t="shared" si="33"/>
        <v>350</v>
      </c>
      <c r="K976" s="325"/>
      <c r="L976" s="326"/>
    </row>
    <row r="977" spans="1:12" ht="20.25" customHeight="1" x14ac:dyDescent="0.2">
      <c r="A977" s="108">
        <v>973</v>
      </c>
      <c r="B977" s="171" t="s">
        <v>4783</v>
      </c>
      <c r="C977" s="110" t="s">
        <v>4784</v>
      </c>
      <c r="D977" s="111" t="s">
        <v>4785</v>
      </c>
      <c r="E977" s="112" t="s">
        <v>4786</v>
      </c>
      <c r="F977" s="113" t="s">
        <v>8</v>
      </c>
      <c r="G977" s="119">
        <v>50</v>
      </c>
      <c r="H977" s="120">
        <f t="shared" si="35"/>
        <v>450</v>
      </c>
      <c r="I977" s="452">
        <f t="shared" si="36"/>
        <v>0</v>
      </c>
      <c r="J977" s="490">
        <f t="shared" ref="J977:J1000" si="37">SUM(H977:I977)</f>
        <v>450</v>
      </c>
      <c r="K977" s="327"/>
      <c r="L977" s="328"/>
    </row>
    <row r="978" spans="1:12" ht="20.25" customHeight="1" x14ac:dyDescent="0.2">
      <c r="A978" s="114">
        <v>974</v>
      </c>
      <c r="B978" s="1" t="s">
        <v>4787</v>
      </c>
      <c r="C978" s="6" t="s">
        <v>4788</v>
      </c>
      <c r="D978" s="7" t="s">
        <v>4789</v>
      </c>
      <c r="E978" s="2" t="s">
        <v>4786</v>
      </c>
      <c r="F978" s="99" t="s">
        <v>11</v>
      </c>
      <c r="G978" s="121">
        <v>50</v>
      </c>
      <c r="H978" s="122">
        <f t="shared" si="35"/>
        <v>450</v>
      </c>
      <c r="I978" s="450">
        <f t="shared" si="36"/>
        <v>0</v>
      </c>
      <c r="J978" s="491">
        <f t="shared" si="37"/>
        <v>450</v>
      </c>
      <c r="K978" s="323"/>
      <c r="L978" s="324"/>
    </row>
    <row r="979" spans="1:12" ht="20.25" customHeight="1" x14ac:dyDescent="0.2">
      <c r="A979" s="114">
        <v>975</v>
      </c>
      <c r="B979" s="1" t="s">
        <v>4790</v>
      </c>
      <c r="C979" s="6" t="s">
        <v>4791</v>
      </c>
      <c r="D979" s="7" t="s">
        <v>4792</v>
      </c>
      <c r="E979" s="2" t="s">
        <v>4786</v>
      </c>
      <c r="F979" s="99" t="s">
        <v>14</v>
      </c>
      <c r="G979" s="121">
        <v>50</v>
      </c>
      <c r="H979" s="122">
        <f t="shared" si="35"/>
        <v>450</v>
      </c>
      <c r="I979" s="450">
        <f t="shared" si="36"/>
        <v>0</v>
      </c>
      <c r="J979" s="491">
        <f t="shared" si="37"/>
        <v>450</v>
      </c>
      <c r="K979" s="323"/>
      <c r="L979" s="324"/>
    </row>
    <row r="980" spans="1:12" ht="20.25" customHeight="1" thickBot="1" x14ac:dyDescent="0.25">
      <c r="A980" s="158">
        <v>976</v>
      </c>
      <c r="B980" s="159" t="s">
        <v>4793</v>
      </c>
      <c r="C980" s="160" t="s">
        <v>4794</v>
      </c>
      <c r="D980" s="161" t="s">
        <v>4795</v>
      </c>
      <c r="E980" s="162" t="s">
        <v>4786</v>
      </c>
      <c r="F980" s="163" t="s">
        <v>17</v>
      </c>
      <c r="G980" s="164">
        <v>50</v>
      </c>
      <c r="H980" s="153">
        <f t="shared" si="35"/>
        <v>450</v>
      </c>
      <c r="I980" s="451">
        <f t="shared" si="36"/>
        <v>0</v>
      </c>
      <c r="J980" s="492">
        <f t="shared" si="37"/>
        <v>450</v>
      </c>
      <c r="K980" s="325"/>
      <c r="L980" s="326"/>
    </row>
    <row r="981" spans="1:12" ht="20.25" customHeight="1" x14ac:dyDescent="0.2">
      <c r="A981" s="108">
        <v>977</v>
      </c>
      <c r="B981" s="171" t="s">
        <v>4796</v>
      </c>
      <c r="C981" s="110" t="s">
        <v>4797</v>
      </c>
      <c r="D981" s="111" t="s">
        <v>6</v>
      </c>
      <c r="E981" s="112" t="s">
        <v>4798</v>
      </c>
      <c r="F981" s="113" t="s">
        <v>8</v>
      </c>
      <c r="G981" s="119">
        <v>50</v>
      </c>
      <c r="H981" s="120">
        <f t="shared" si="35"/>
        <v>450</v>
      </c>
      <c r="I981" s="452">
        <f>+(0+630)/4</f>
        <v>157.5</v>
      </c>
      <c r="J981" s="490">
        <f t="shared" si="37"/>
        <v>607.5</v>
      </c>
      <c r="K981" s="327"/>
      <c r="L981" s="328"/>
    </row>
    <row r="982" spans="1:12" ht="20.25" customHeight="1" x14ac:dyDescent="0.2">
      <c r="A982" s="114">
        <v>978</v>
      </c>
      <c r="B982" s="1" t="s">
        <v>4799</v>
      </c>
      <c r="C982" s="6" t="s">
        <v>4800</v>
      </c>
      <c r="D982" s="7" t="s">
        <v>2178</v>
      </c>
      <c r="E982" s="2" t="s">
        <v>4798</v>
      </c>
      <c r="F982" s="99" t="s">
        <v>11</v>
      </c>
      <c r="G982" s="121">
        <v>50</v>
      </c>
      <c r="H982" s="122">
        <f t="shared" si="35"/>
        <v>450</v>
      </c>
      <c r="I982" s="450">
        <f>+(0+630)/4</f>
        <v>157.5</v>
      </c>
      <c r="J982" s="491">
        <f t="shared" si="37"/>
        <v>607.5</v>
      </c>
      <c r="K982" s="323"/>
      <c r="L982" s="324"/>
    </row>
    <row r="983" spans="1:12" ht="20.25" customHeight="1" x14ac:dyDescent="0.2">
      <c r="A983" s="114">
        <v>979</v>
      </c>
      <c r="B983" s="1" t="s">
        <v>4801</v>
      </c>
      <c r="C983" s="6" t="s">
        <v>3062</v>
      </c>
      <c r="D983" s="7" t="s">
        <v>4802</v>
      </c>
      <c r="E983" s="2" t="s">
        <v>4798</v>
      </c>
      <c r="F983" s="99" t="s">
        <v>14</v>
      </c>
      <c r="G983" s="121">
        <v>100</v>
      </c>
      <c r="H983" s="122">
        <f t="shared" si="35"/>
        <v>400</v>
      </c>
      <c r="I983" s="450">
        <f>+(0+630)/4</f>
        <v>157.5</v>
      </c>
      <c r="J983" s="491">
        <f t="shared" si="37"/>
        <v>557.5</v>
      </c>
      <c r="K983" s="323"/>
      <c r="L983" s="324"/>
    </row>
    <row r="984" spans="1:12" ht="20.25" customHeight="1" thickBot="1" x14ac:dyDescent="0.25">
      <c r="A984" s="158">
        <v>980</v>
      </c>
      <c r="B984" s="159" t="s">
        <v>4803</v>
      </c>
      <c r="C984" s="160" t="s">
        <v>4804</v>
      </c>
      <c r="D984" s="161" t="s">
        <v>4805</v>
      </c>
      <c r="E984" s="162" t="s">
        <v>4798</v>
      </c>
      <c r="F984" s="163" t="s">
        <v>17</v>
      </c>
      <c r="G984" s="164">
        <v>50</v>
      </c>
      <c r="H984" s="153">
        <f t="shared" si="35"/>
        <v>450</v>
      </c>
      <c r="I984" s="451">
        <f>+(0+630)/4</f>
        <v>157.5</v>
      </c>
      <c r="J984" s="492">
        <f t="shared" si="37"/>
        <v>607.5</v>
      </c>
      <c r="K984" s="325"/>
      <c r="L984" s="326"/>
    </row>
    <row r="985" spans="1:12" ht="20.25" customHeight="1" x14ac:dyDescent="0.2">
      <c r="A985" s="165">
        <v>981</v>
      </c>
      <c r="B985" s="229" t="s">
        <v>4806</v>
      </c>
      <c r="C985" s="230" t="s">
        <v>3170</v>
      </c>
      <c r="D985" s="231" t="s">
        <v>4807</v>
      </c>
      <c r="E985" s="232" t="s">
        <v>4808</v>
      </c>
      <c r="F985" s="233" t="s">
        <v>8</v>
      </c>
      <c r="G985" s="234">
        <v>150</v>
      </c>
      <c r="H985" s="246">
        <f t="shared" si="35"/>
        <v>350</v>
      </c>
      <c r="I985" s="293">
        <f>+(0+-4130)/2</f>
        <v>-2065</v>
      </c>
      <c r="J985" s="500">
        <f t="shared" si="37"/>
        <v>-1715</v>
      </c>
      <c r="K985" s="321" t="s">
        <v>5720</v>
      </c>
      <c r="L985" s="341"/>
    </row>
    <row r="986" spans="1:12" ht="20.25" customHeight="1" x14ac:dyDescent="0.2">
      <c r="A986" s="116">
        <v>982</v>
      </c>
      <c r="B986" s="48" t="s">
        <v>4809</v>
      </c>
      <c r="C986" s="39" t="s">
        <v>2691</v>
      </c>
      <c r="D986" s="38" t="s">
        <v>230</v>
      </c>
      <c r="E986" s="36" t="s">
        <v>4808</v>
      </c>
      <c r="F986" s="105" t="s">
        <v>11</v>
      </c>
      <c r="G986" s="137">
        <v>150</v>
      </c>
      <c r="H986" s="127">
        <f t="shared" si="35"/>
        <v>350</v>
      </c>
      <c r="I986" s="294">
        <f>+(0+-4130)/2</f>
        <v>-2065</v>
      </c>
      <c r="J986" s="497">
        <f t="shared" si="37"/>
        <v>-1715</v>
      </c>
      <c r="K986" s="333" t="s">
        <v>5720</v>
      </c>
      <c r="L986" s="334"/>
    </row>
    <row r="987" spans="1:12" ht="20.25" customHeight="1" x14ac:dyDescent="0.2">
      <c r="A987" s="114">
        <v>983</v>
      </c>
      <c r="B987" s="84"/>
      <c r="C987" s="85" t="s">
        <v>4876</v>
      </c>
      <c r="D987" s="86"/>
      <c r="E987" s="83" t="s">
        <v>4808</v>
      </c>
      <c r="F987" s="85" t="s">
        <v>14</v>
      </c>
      <c r="G987" s="156">
        <v>0</v>
      </c>
      <c r="H987" s="155"/>
      <c r="I987" s="292"/>
      <c r="J987" s="491">
        <f t="shared" si="37"/>
        <v>0</v>
      </c>
      <c r="K987" s="338" t="s">
        <v>4876</v>
      </c>
      <c r="L987" s="324"/>
    </row>
    <row r="988" spans="1:12" ht="20.25" customHeight="1" thickBot="1" x14ac:dyDescent="0.25">
      <c r="A988" s="158">
        <v>984</v>
      </c>
      <c r="B988" s="217"/>
      <c r="C988" s="218" t="s">
        <v>4876</v>
      </c>
      <c r="D988" s="219"/>
      <c r="E988" s="220" t="s">
        <v>4808</v>
      </c>
      <c r="F988" s="218" t="s">
        <v>17</v>
      </c>
      <c r="G988" s="221">
        <v>0</v>
      </c>
      <c r="H988" s="222"/>
      <c r="I988" s="291"/>
      <c r="J988" s="492">
        <f t="shared" si="37"/>
        <v>0</v>
      </c>
      <c r="K988" s="337" t="s">
        <v>4876</v>
      </c>
      <c r="L988" s="326"/>
    </row>
    <row r="989" spans="1:12" s="37" customFormat="1" ht="20.25" customHeight="1" x14ac:dyDescent="0.2">
      <c r="A989" s="165">
        <v>985</v>
      </c>
      <c r="B989" s="229" t="s">
        <v>4810</v>
      </c>
      <c r="C989" s="230" t="s">
        <v>3182</v>
      </c>
      <c r="D989" s="231" t="s">
        <v>4811</v>
      </c>
      <c r="E989" s="232" t="s">
        <v>4812</v>
      </c>
      <c r="F989" s="233" t="s">
        <v>8</v>
      </c>
      <c r="G989" s="234">
        <v>150</v>
      </c>
      <c r="H989" s="246">
        <f t="shared" si="35"/>
        <v>350</v>
      </c>
      <c r="I989" s="293">
        <f>+(0+0)/3</f>
        <v>0</v>
      </c>
      <c r="J989" s="500">
        <f t="shared" si="37"/>
        <v>350</v>
      </c>
      <c r="K989" s="321" t="s">
        <v>4996</v>
      </c>
      <c r="L989" s="341">
        <v>5500</v>
      </c>
    </row>
    <row r="990" spans="1:12" ht="20.25" customHeight="1" x14ac:dyDescent="0.2">
      <c r="A990" s="114">
        <v>986</v>
      </c>
      <c r="B990" s="254"/>
      <c r="C990" s="257" t="s">
        <v>4876</v>
      </c>
      <c r="D990" s="255"/>
      <c r="E990" s="256" t="s">
        <v>4812</v>
      </c>
      <c r="F990" s="257" t="s">
        <v>11</v>
      </c>
      <c r="G990" s="258">
        <v>0</v>
      </c>
      <c r="H990" s="259"/>
      <c r="I990" s="296"/>
      <c r="J990" s="491">
        <f t="shared" si="37"/>
        <v>0</v>
      </c>
      <c r="K990" s="350" t="s">
        <v>4876</v>
      </c>
      <c r="L990" s="324"/>
    </row>
    <row r="991" spans="1:12" s="37" customFormat="1" ht="20.25" customHeight="1" x14ac:dyDescent="0.2">
      <c r="A991" s="116">
        <v>987</v>
      </c>
      <c r="B991" s="48" t="s">
        <v>4813</v>
      </c>
      <c r="C991" s="39" t="s">
        <v>2158</v>
      </c>
      <c r="D991" s="38" t="s">
        <v>4814</v>
      </c>
      <c r="E991" s="36" t="s">
        <v>4812</v>
      </c>
      <c r="F991" s="105" t="s">
        <v>14</v>
      </c>
      <c r="G991" s="137">
        <v>150</v>
      </c>
      <c r="H991" s="127">
        <f t="shared" si="35"/>
        <v>350</v>
      </c>
      <c r="I991" s="294">
        <f>+(0+0)/3</f>
        <v>0</v>
      </c>
      <c r="J991" s="497">
        <f t="shared" si="37"/>
        <v>350</v>
      </c>
      <c r="K991" s="333" t="s">
        <v>4996</v>
      </c>
      <c r="L991" s="334">
        <v>5500</v>
      </c>
    </row>
    <row r="992" spans="1:12" s="37" customFormat="1" ht="20.25" customHeight="1" thickBot="1" x14ac:dyDescent="0.25">
      <c r="A992" s="147">
        <v>988</v>
      </c>
      <c r="B992" s="211" t="s">
        <v>4815</v>
      </c>
      <c r="C992" s="212" t="s">
        <v>4816</v>
      </c>
      <c r="D992" s="213" t="s">
        <v>4817</v>
      </c>
      <c r="E992" s="214" t="s">
        <v>4812</v>
      </c>
      <c r="F992" s="215" t="s">
        <v>17</v>
      </c>
      <c r="G992" s="216">
        <v>150</v>
      </c>
      <c r="H992" s="247">
        <f t="shared" si="35"/>
        <v>350</v>
      </c>
      <c r="I992" s="295">
        <f>+(0+0)/3</f>
        <v>0</v>
      </c>
      <c r="J992" s="495">
        <f t="shared" si="37"/>
        <v>350</v>
      </c>
      <c r="K992" s="331" t="s">
        <v>4996</v>
      </c>
      <c r="L992" s="332">
        <v>5500</v>
      </c>
    </row>
    <row r="993" spans="1:16" ht="20.25" customHeight="1" x14ac:dyDescent="0.2">
      <c r="A993" s="108">
        <v>989</v>
      </c>
      <c r="B993" s="171" t="s">
        <v>4818</v>
      </c>
      <c r="C993" s="110" t="s">
        <v>4819</v>
      </c>
      <c r="D993" s="111" t="s">
        <v>4820</v>
      </c>
      <c r="E993" s="112" t="s">
        <v>4821</v>
      </c>
      <c r="F993" s="113" t="s">
        <v>8</v>
      </c>
      <c r="G993" s="119">
        <v>100</v>
      </c>
      <c r="H993" s="120">
        <f t="shared" si="35"/>
        <v>400</v>
      </c>
      <c r="I993" s="452">
        <f>+(0+215)/4</f>
        <v>53.75</v>
      </c>
      <c r="J993" s="490">
        <f t="shared" si="37"/>
        <v>453.75</v>
      </c>
      <c r="K993" s="327"/>
      <c r="L993" s="328"/>
    </row>
    <row r="994" spans="1:16" ht="20.25" customHeight="1" x14ac:dyDescent="0.2">
      <c r="A994" s="114">
        <v>990</v>
      </c>
      <c r="B994" s="1" t="s">
        <v>4822</v>
      </c>
      <c r="C994" s="6" t="s">
        <v>4823</v>
      </c>
      <c r="D994" s="7" t="s">
        <v>4824</v>
      </c>
      <c r="E994" s="2" t="s">
        <v>4821</v>
      </c>
      <c r="F994" s="99" t="s">
        <v>11</v>
      </c>
      <c r="G994" s="121">
        <v>150</v>
      </c>
      <c r="H994" s="122">
        <f t="shared" si="35"/>
        <v>350</v>
      </c>
      <c r="I994" s="450">
        <f>+(0+215)/4</f>
        <v>53.75</v>
      </c>
      <c r="J994" s="491">
        <f t="shared" si="37"/>
        <v>403.75</v>
      </c>
      <c r="K994" s="323"/>
      <c r="L994" s="324"/>
    </row>
    <row r="995" spans="1:16" ht="20.25" customHeight="1" x14ac:dyDescent="0.2">
      <c r="A995" s="114">
        <v>991</v>
      </c>
      <c r="B995" s="1" t="s">
        <v>4825</v>
      </c>
      <c r="C995" s="6" t="s">
        <v>4826</v>
      </c>
      <c r="D995" s="7" t="s">
        <v>4827</v>
      </c>
      <c r="E995" s="2" t="s">
        <v>4821</v>
      </c>
      <c r="F995" s="99" t="s">
        <v>14</v>
      </c>
      <c r="G995" s="121">
        <v>150</v>
      </c>
      <c r="H995" s="122">
        <f t="shared" si="35"/>
        <v>350</v>
      </c>
      <c r="I995" s="450">
        <f>+(0+215)/4</f>
        <v>53.75</v>
      </c>
      <c r="J995" s="491">
        <f t="shared" si="37"/>
        <v>403.75</v>
      </c>
      <c r="K995" s="323"/>
      <c r="L995" s="324"/>
    </row>
    <row r="996" spans="1:16" ht="20.25" customHeight="1" thickBot="1" x14ac:dyDescent="0.25">
      <c r="A996" s="158">
        <v>992</v>
      </c>
      <c r="B996" s="159" t="s">
        <v>4828</v>
      </c>
      <c r="C996" s="160" t="s">
        <v>2339</v>
      </c>
      <c r="D996" s="161" t="s">
        <v>4829</v>
      </c>
      <c r="E996" s="162" t="s">
        <v>4821</v>
      </c>
      <c r="F996" s="163" t="s">
        <v>17</v>
      </c>
      <c r="G996" s="164">
        <v>150</v>
      </c>
      <c r="H996" s="153">
        <f t="shared" si="35"/>
        <v>350</v>
      </c>
      <c r="I996" s="451">
        <f>+(0+215)/4</f>
        <v>53.75</v>
      </c>
      <c r="J996" s="492">
        <f t="shared" si="37"/>
        <v>403.75</v>
      </c>
      <c r="K996" s="325"/>
      <c r="L996" s="326"/>
      <c r="N996" s="59"/>
      <c r="O996" s="59"/>
    </row>
    <row r="997" spans="1:16" ht="20.25" customHeight="1" x14ac:dyDescent="0.2">
      <c r="A997" s="108">
        <v>993</v>
      </c>
      <c r="B997" s="171" t="s">
        <v>4830</v>
      </c>
      <c r="C997" s="110" t="s">
        <v>4831</v>
      </c>
      <c r="D997" s="111" t="s">
        <v>4832</v>
      </c>
      <c r="E997" s="112" t="s">
        <v>4833</v>
      </c>
      <c r="F997" s="113" t="s">
        <v>8</v>
      </c>
      <c r="G997" s="119">
        <v>150</v>
      </c>
      <c r="H997" s="120">
        <f t="shared" si="35"/>
        <v>350</v>
      </c>
      <c r="I997" s="452">
        <f>+(0+0)/4</f>
        <v>0</v>
      </c>
      <c r="J997" s="490">
        <f t="shared" si="37"/>
        <v>350</v>
      </c>
      <c r="K997" s="327"/>
      <c r="L997" s="328"/>
      <c r="N997" s="59"/>
      <c r="O997" s="59"/>
    </row>
    <row r="998" spans="1:16" ht="20.25" customHeight="1" x14ac:dyDescent="0.2">
      <c r="A998" s="114">
        <v>994</v>
      </c>
      <c r="B998" s="1" t="s">
        <v>4834</v>
      </c>
      <c r="C998" s="6" t="s">
        <v>4835</v>
      </c>
      <c r="D998" s="7" t="s">
        <v>4836</v>
      </c>
      <c r="E998" s="2" t="s">
        <v>4833</v>
      </c>
      <c r="F998" s="99" t="s">
        <v>11</v>
      </c>
      <c r="G998" s="121">
        <v>150</v>
      </c>
      <c r="H998" s="122">
        <f t="shared" si="35"/>
        <v>350</v>
      </c>
      <c r="I998" s="450">
        <f>+(0+0)/4</f>
        <v>0</v>
      </c>
      <c r="J998" s="491">
        <f t="shared" si="37"/>
        <v>350</v>
      </c>
      <c r="K998" s="323"/>
      <c r="L998" s="324"/>
      <c r="N998" s="59"/>
      <c r="O998" s="59"/>
      <c r="P998" s="60"/>
    </row>
    <row r="999" spans="1:16" ht="20.25" customHeight="1" x14ac:dyDescent="0.2">
      <c r="A999" s="114">
        <v>995</v>
      </c>
      <c r="B999" s="1" t="s">
        <v>4837</v>
      </c>
      <c r="C999" s="6" t="s">
        <v>3068</v>
      </c>
      <c r="D999" s="7" t="s">
        <v>4838</v>
      </c>
      <c r="E999" s="2" t="s">
        <v>4833</v>
      </c>
      <c r="F999" s="99" t="s">
        <v>14</v>
      </c>
      <c r="G999" s="121">
        <v>150</v>
      </c>
      <c r="H999" s="122">
        <f t="shared" si="35"/>
        <v>350</v>
      </c>
      <c r="I999" s="450">
        <f>+(0+0)/4</f>
        <v>0</v>
      </c>
      <c r="J999" s="491">
        <f t="shared" si="37"/>
        <v>350</v>
      </c>
      <c r="K999" s="323"/>
      <c r="L999" s="324"/>
    </row>
    <row r="1000" spans="1:16" ht="20.25" customHeight="1" thickBot="1" x14ac:dyDescent="0.25">
      <c r="A1000" s="158">
        <v>996</v>
      </c>
      <c r="B1000" s="159" t="s">
        <v>4839</v>
      </c>
      <c r="C1000" s="160" t="s">
        <v>4840</v>
      </c>
      <c r="D1000" s="161" t="s">
        <v>4841</v>
      </c>
      <c r="E1000" s="162" t="s">
        <v>4833</v>
      </c>
      <c r="F1000" s="163" t="s">
        <v>17</v>
      </c>
      <c r="G1000" s="164">
        <v>150</v>
      </c>
      <c r="H1000" s="153">
        <f t="shared" si="35"/>
        <v>350</v>
      </c>
      <c r="I1000" s="451">
        <f>+(0+0)/4</f>
        <v>0</v>
      </c>
      <c r="J1000" s="492">
        <f t="shared" si="37"/>
        <v>350</v>
      </c>
      <c r="K1000" s="325"/>
      <c r="L1000" s="326"/>
    </row>
    <row r="1001" spans="1:16" s="15" customFormat="1" ht="20.25" customHeight="1" x14ac:dyDescent="0.2">
      <c r="C1001" s="27"/>
      <c r="E1001" s="27"/>
      <c r="F1001" s="27"/>
      <c r="G1001" s="141"/>
      <c r="H1001" s="141"/>
      <c r="I1001" s="284"/>
      <c r="J1001" s="507"/>
      <c r="K1001" s="33"/>
      <c r="L1001" s="71"/>
    </row>
    <row r="1002" spans="1:16" s="15" customFormat="1" ht="20.25" customHeight="1" x14ac:dyDescent="0.2">
      <c r="C1002" s="27"/>
      <c r="E1002" s="27"/>
      <c r="F1002" s="27"/>
      <c r="G1002" s="141"/>
      <c r="H1002" s="141"/>
      <c r="I1002" s="284"/>
      <c r="J1002" s="507"/>
      <c r="K1002" s="33"/>
      <c r="L1002" s="71"/>
    </row>
    <row r="1003" spans="1:16" s="15" customFormat="1" ht="20.25" customHeight="1" x14ac:dyDescent="0.2">
      <c r="C1003" s="27"/>
      <c r="E1003" s="27"/>
      <c r="F1003" s="27"/>
      <c r="G1003" s="141"/>
      <c r="H1003" s="141"/>
      <c r="I1003" s="284"/>
      <c r="J1003" s="507"/>
      <c r="K1003" s="33"/>
      <c r="L1003" s="71"/>
    </row>
    <row r="1004" spans="1:16" s="15" customFormat="1" ht="20.25" customHeight="1" x14ac:dyDescent="0.2">
      <c r="C1004" s="27"/>
      <c r="E1004" s="27"/>
      <c r="F1004" s="27"/>
      <c r="G1004" s="141"/>
      <c r="H1004" s="141"/>
      <c r="I1004" s="284"/>
      <c r="J1004" s="507"/>
      <c r="K1004" s="33"/>
      <c r="L1004" s="71"/>
    </row>
    <row r="1005" spans="1:16" s="15" customFormat="1" ht="20.25" customHeight="1" x14ac:dyDescent="0.2">
      <c r="C1005" s="27"/>
      <c r="E1005" s="27"/>
      <c r="F1005" s="27"/>
      <c r="G1005" s="141"/>
      <c r="H1005" s="141"/>
      <c r="I1005" s="284"/>
      <c r="J1005" s="507"/>
      <c r="K1005" s="33"/>
      <c r="L1005" s="71"/>
    </row>
    <row r="1006" spans="1:16" s="15" customFormat="1" ht="20.25" customHeight="1" x14ac:dyDescent="0.2">
      <c r="C1006" s="27"/>
      <c r="E1006" s="27"/>
      <c r="F1006" s="27"/>
      <c r="G1006" s="141"/>
      <c r="H1006" s="141"/>
      <c r="I1006" s="284"/>
      <c r="J1006" s="507"/>
      <c r="K1006" s="33"/>
      <c r="L1006" s="71"/>
    </row>
    <row r="1007" spans="1:16" s="15" customFormat="1" ht="20.25" customHeight="1" x14ac:dyDescent="0.2">
      <c r="C1007" s="27"/>
      <c r="E1007" s="27"/>
      <c r="F1007" s="27"/>
      <c r="G1007" s="141"/>
      <c r="H1007" s="141"/>
      <c r="I1007" s="284"/>
      <c r="J1007" s="507"/>
      <c r="K1007" s="33"/>
      <c r="L1007" s="71"/>
    </row>
    <row r="1008" spans="1:16" s="15" customFormat="1" ht="20.25" customHeight="1" x14ac:dyDescent="0.2">
      <c r="A1008" s="45"/>
      <c r="C1008" s="27"/>
      <c r="E1008" s="27"/>
      <c r="F1008" s="27"/>
      <c r="G1008" s="141"/>
      <c r="H1008" s="141"/>
      <c r="I1008" s="284"/>
      <c r="J1008" s="507"/>
      <c r="K1008" s="33"/>
      <c r="L1008" s="71"/>
      <c r="O1008" s="27"/>
    </row>
    <row r="1009" spans="2:12" s="15" customFormat="1" ht="20.25" customHeight="1" x14ac:dyDescent="0.2">
      <c r="B1009" s="45"/>
      <c r="C1009" s="27"/>
      <c r="D1009" s="27"/>
      <c r="E1009" s="27"/>
      <c r="G1009" s="141"/>
      <c r="H1009" s="141"/>
      <c r="I1009" s="284"/>
      <c r="J1009" s="507"/>
      <c r="K1009" s="33"/>
      <c r="L1009" s="71"/>
    </row>
    <row r="1010" spans="2:12" s="15" customFormat="1" ht="20.25" customHeight="1" x14ac:dyDescent="0.2">
      <c r="C1010" s="27"/>
      <c r="D1010" s="27"/>
      <c r="E1010" s="27"/>
      <c r="G1010" s="141"/>
      <c r="H1010" s="141"/>
      <c r="I1010" s="284"/>
      <c r="J1010" s="507"/>
      <c r="K1010" s="33"/>
      <c r="L1010" s="71"/>
    </row>
    <row r="1011" spans="2:12" s="15" customFormat="1" ht="20.25" customHeight="1" x14ac:dyDescent="0.2">
      <c r="C1011" s="27"/>
      <c r="D1011" s="27"/>
      <c r="E1011" s="27"/>
      <c r="G1011" s="141"/>
      <c r="H1011" s="141"/>
      <c r="I1011" s="284"/>
      <c r="J1011" s="507"/>
      <c r="K1011" s="33"/>
      <c r="L1011" s="71"/>
    </row>
    <row r="1012" spans="2:12" s="15" customFormat="1" ht="20.25" customHeight="1" x14ac:dyDescent="0.2">
      <c r="C1012" s="27"/>
      <c r="E1012" s="27"/>
      <c r="F1012" s="27"/>
      <c r="G1012" s="141"/>
      <c r="H1012" s="141"/>
      <c r="I1012" s="284"/>
      <c r="J1012" s="507"/>
      <c r="K1012" s="33"/>
      <c r="L1012" s="71"/>
    </row>
    <row r="1013" spans="2:12" s="15" customFormat="1" ht="20.25" customHeight="1" x14ac:dyDescent="0.2">
      <c r="B1013" s="15" t="s">
        <v>5000</v>
      </c>
      <c r="C1013" s="27"/>
      <c r="E1013" s="27"/>
      <c r="F1013" s="27"/>
      <c r="G1013" s="141"/>
      <c r="H1013" s="141"/>
      <c r="I1013" s="284"/>
      <c r="J1013" s="507"/>
      <c r="K1013" s="33"/>
      <c r="L1013" s="71"/>
    </row>
    <row r="1014" spans="2:12" s="15" customFormat="1" ht="20.25" customHeight="1" x14ac:dyDescent="0.2">
      <c r="C1014" s="27"/>
      <c r="E1014" s="27"/>
      <c r="F1014" s="27"/>
      <c r="G1014" s="141"/>
      <c r="H1014" s="141"/>
      <c r="I1014" s="284"/>
      <c r="J1014" s="507"/>
      <c r="K1014" s="33"/>
      <c r="L1014" s="71"/>
    </row>
    <row r="1015" spans="2:12" s="15" customFormat="1" ht="20.25" customHeight="1" x14ac:dyDescent="0.2">
      <c r="C1015" s="27"/>
      <c r="E1015" s="27"/>
      <c r="F1015" s="27"/>
      <c r="G1015" s="141"/>
      <c r="H1015" s="141"/>
      <c r="I1015" s="284"/>
      <c r="J1015" s="507"/>
      <c r="K1015" s="33"/>
      <c r="L1015" s="71"/>
    </row>
    <row r="1016" spans="2:12" s="15" customFormat="1" ht="20.25" customHeight="1" x14ac:dyDescent="0.2">
      <c r="C1016" s="27"/>
      <c r="E1016" s="27"/>
      <c r="F1016" s="27"/>
      <c r="G1016" s="141"/>
      <c r="H1016" s="141"/>
      <c r="I1016" s="284"/>
      <c r="J1016" s="507"/>
      <c r="K1016" s="33"/>
      <c r="L1016" s="71"/>
    </row>
    <row r="1017" spans="2:12" s="15" customFormat="1" ht="20.25" customHeight="1" x14ac:dyDescent="0.2">
      <c r="C1017" s="27"/>
      <c r="E1017" s="27"/>
      <c r="F1017" s="27"/>
      <c r="G1017" s="141"/>
      <c r="H1017" s="141"/>
      <c r="I1017" s="284"/>
      <c r="J1017" s="507"/>
      <c r="K1017" s="33"/>
      <c r="L1017" s="71"/>
    </row>
    <row r="1018" spans="2:12" s="15" customFormat="1" ht="20.25" customHeight="1" x14ac:dyDescent="0.2">
      <c r="C1018" s="27"/>
      <c r="E1018" s="27"/>
      <c r="F1018" s="27"/>
      <c r="G1018" s="141"/>
      <c r="H1018" s="141"/>
      <c r="I1018" s="284"/>
      <c r="J1018" s="507"/>
      <c r="K1018" s="33"/>
      <c r="L1018" s="71"/>
    </row>
    <row r="1019" spans="2:12" s="15" customFormat="1" ht="20.25" customHeight="1" x14ac:dyDescent="0.2">
      <c r="C1019" s="27"/>
      <c r="E1019" s="27"/>
      <c r="F1019" s="27"/>
      <c r="G1019" s="141"/>
      <c r="H1019" s="141"/>
      <c r="I1019" s="284"/>
      <c r="J1019" s="507"/>
      <c r="K1019" s="33"/>
      <c r="L1019" s="71"/>
    </row>
    <row r="1020" spans="2:12" s="15" customFormat="1" ht="20.25" customHeight="1" x14ac:dyDescent="0.2">
      <c r="C1020" s="27"/>
      <c r="E1020" s="27"/>
      <c r="F1020" s="27"/>
      <c r="G1020" s="141"/>
      <c r="H1020" s="141"/>
      <c r="I1020" s="284"/>
      <c r="J1020" s="507"/>
      <c r="K1020" s="33"/>
      <c r="L1020" s="71"/>
    </row>
    <row r="1021" spans="2:12" s="15" customFormat="1" ht="20.25" customHeight="1" x14ac:dyDescent="0.2">
      <c r="C1021" s="27"/>
      <c r="E1021" s="27"/>
      <c r="F1021" s="27"/>
      <c r="G1021" s="141"/>
      <c r="H1021" s="141"/>
      <c r="I1021" s="284"/>
      <c r="J1021" s="507"/>
      <c r="K1021" s="33"/>
      <c r="L1021" s="71"/>
    </row>
    <row r="1022" spans="2:12" s="15" customFormat="1" ht="20.25" customHeight="1" x14ac:dyDescent="0.2">
      <c r="C1022" s="27"/>
      <c r="E1022" s="27"/>
      <c r="F1022" s="27"/>
      <c r="G1022" s="141"/>
      <c r="H1022" s="141"/>
      <c r="I1022" s="284"/>
      <c r="J1022" s="507"/>
      <c r="K1022" s="33"/>
      <c r="L1022" s="71"/>
    </row>
    <row r="1023" spans="2:12" s="15" customFormat="1" ht="20.25" customHeight="1" x14ac:dyDescent="0.2">
      <c r="C1023" s="27"/>
      <c r="E1023" s="27"/>
      <c r="F1023" s="27"/>
      <c r="G1023" s="141"/>
      <c r="H1023" s="141"/>
      <c r="I1023" s="284"/>
      <c r="J1023" s="507"/>
      <c r="K1023" s="33"/>
      <c r="L1023" s="71"/>
    </row>
    <row r="1024" spans="2:12" s="15" customFormat="1" ht="20.25" customHeight="1" x14ac:dyDescent="0.2">
      <c r="C1024" s="27"/>
      <c r="E1024" s="27"/>
      <c r="F1024" s="27"/>
      <c r="G1024" s="141"/>
      <c r="H1024" s="141"/>
      <c r="I1024" s="285"/>
      <c r="J1024" s="508"/>
      <c r="K1024" s="33"/>
      <c r="L1024" s="71"/>
    </row>
    <row r="1025" spans="1:12" s="15" customFormat="1" ht="20.25" customHeight="1" x14ac:dyDescent="0.2">
      <c r="C1025" s="27"/>
      <c r="E1025" s="27"/>
      <c r="F1025" s="27"/>
      <c r="G1025" s="141"/>
      <c r="H1025" s="141"/>
      <c r="I1025" s="285"/>
      <c r="J1025" s="508"/>
      <c r="K1025" s="33"/>
      <c r="L1025" s="71"/>
    </row>
    <row r="1026" spans="1:12" ht="20.25" customHeight="1" x14ac:dyDescent="0.2">
      <c r="A1026" s="15"/>
    </row>
    <row r="1027" spans="1:12" ht="20.25" customHeight="1" x14ac:dyDescent="0.2">
      <c r="A1027" s="15"/>
    </row>
    <row r="1028" spans="1:12" ht="20.25" customHeight="1" x14ac:dyDescent="0.2">
      <c r="A1028" s="15"/>
    </row>
    <row r="1029" spans="1:12" ht="20.25" customHeight="1" x14ac:dyDescent="0.2">
      <c r="A1029" s="15"/>
    </row>
    <row r="1030" spans="1:12" ht="20.25" customHeight="1" x14ac:dyDescent="0.2">
      <c r="A1030" s="15"/>
    </row>
    <row r="1031" spans="1:12" ht="20.25" customHeight="1" x14ac:dyDescent="0.2">
      <c r="A1031" s="15"/>
    </row>
    <row r="1032" spans="1:12" ht="20.25" customHeight="1" x14ac:dyDescent="0.2">
      <c r="A1032" s="15"/>
    </row>
    <row r="1033" spans="1:12" ht="20.25" customHeight="1" x14ac:dyDescent="0.2">
      <c r="A1033" s="15"/>
    </row>
    <row r="1034" spans="1:12" ht="20.25" customHeight="1" x14ac:dyDescent="0.2">
      <c r="A1034" s="15"/>
    </row>
    <row r="1035" spans="1:12" ht="20.25" customHeight="1" x14ac:dyDescent="0.2">
      <c r="A1035" s="15"/>
    </row>
    <row r="1036" spans="1:12" ht="20.25" customHeight="1" x14ac:dyDescent="0.2">
      <c r="A1036" s="15"/>
    </row>
    <row r="1037" spans="1:12" ht="20.25" customHeight="1" x14ac:dyDescent="0.2">
      <c r="A1037" s="15"/>
    </row>
    <row r="1038" spans="1:12" ht="20.25" customHeight="1" x14ac:dyDescent="0.2">
      <c r="A1038" s="15"/>
    </row>
    <row r="1039" spans="1:12" ht="20.25" customHeight="1" x14ac:dyDescent="0.2">
      <c r="A1039" s="15"/>
    </row>
    <row r="1040" spans="1:12" ht="20.25" customHeight="1" x14ac:dyDescent="0.2">
      <c r="A1040" s="15"/>
    </row>
    <row r="1041" spans="1:1" ht="20.25" customHeight="1" x14ac:dyDescent="0.2">
      <c r="A1041" s="15"/>
    </row>
    <row r="1042" spans="1:1" ht="20.25" customHeight="1" x14ac:dyDescent="0.2">
      <c r="A1042" s="15"/>
    </row>
    <row r="1043" spans="1:1" ht="20.25" customHeight="1" x14ac:dyDescent="0.2">
      <c r="A1043" s="15"/>
    </row>
    <row r="1044" spans="1:1" ht="20.25" customHeight="1" x14ac:dyDescent="0.2">
      <c r="A1044" s="15"/>
    </row>
    <row r="1045" spans="1:1" ht="20.25" customHeight="1" x14ac:dyDescent="0.2">
      <c r="A1045" s="15"/>
    </row>
    <row r="1046" spans="1:1" ht="20.25" customHeight="1" x14ac:dyDescent="0.2">
      <c r="A1046" s="15"/>
    </row>
    <row r="1047" spans="1:1" ht="20.25" customHeight="1" x14ac:dyDescent="0.2">
      <c r="A1047" s="15"/>
    </row>
    <row r="1048" spans="1:1" ht="20.25" customHeight="1" x14ac:dyDescent="0.2">
      <c r="A1048" s="15"/>
    </row>
    <row r="1049" spans="1:1" ht="20.25" customHeight="1" x14ac:dyDescent="0.2">
      <c r="A1049" s="15"/>
    </row>
    <row r="1050" spans="1:1" ht="20.25" customHeight="1" x14ac:dyDescent="0.2">
      <c r="A1050" s="15"/>
    </row>
    <row r="1051" spans="1:1" ht="20.25" customHeight="1" x14ac:dyDescent="0.2">
      <c r="A1051" s="15"/>
    </row>
    <row r="1052" spans="1:1" ht="20.25" customHeight="1" x14ac:dyDescent="0.2">
      <c r="A1052" s="15"/>
    </row>
    <row r="1053" spans="1:1" ht="20.25" customHeight="1" x14ac:dyDescent="0.2">
      <c r="A1053" s="15"/>
    </row>
    <row r="1054" spans="1:1" ht="20.25" customHeight="1" x14ac:dyDescent="0.2">
      <c r="A1054" s="15"/>
    </row>
    <row r="1055" spans="1:1" ht="20.25" customHeight="1" x14ac:dyDescent="0.2">
      <c r="A1055" s="15"/>
    </row>
    <row r="1056" spans="1:1" ht="20.25" customHeight="1" x14ac:dyDescent="0.2">
      <c r="A1056" s="15"/>
    </row>
    <row r="1057" spans="1:1" ht="20.25" customHeight="1" x14ac:dyDescent="0.2">
      <c r="A1057" s="15"/>
    </row>
    <row r="1058" spans="1:1" ht="20.25" customHeight="1" x14ac:dyDescent="0.2">
      <c r="A1058" s="15"/>
    </row>
    <row r="1059" spans="1:1" ht="20.25" customHeight="1" x14ac:dyDescent="0.2">
      <c r="A1059" s="15"/>
    </row>
    <row r="1060" spans="1:1" ht="20.25" customHeight="1" x14ac:dyDescent="0.2">
      <c r="A1060" s="15"/>
    </row>
    <row r="1061" spans="1:1" ht="20.25" customHeight="1" x14ac:dyDescent="0.2">
      <c r="A1061" s="15"/>
    </row>
    <row r="1062" spans="1:1" ht="20.25" customHeight="1" x14ac:dyDescent="0.2">
      <c r="A1062" s="15"/>
    </row>
    <row r="1063" spans="1:1" ht="20.25" customHeight="1" x14ac:dyDescent="0.2">
      <c r="A1063" s="15"/>
    </row>
    <row r="1064" spans="1:1" ht="20.25" customHeight="1" x14ac:dyDescent="0.2">
      <c r="A1064" s="15"/>
    </row>
    <row r="1065" spans="1:1" ht="20.25" customHeight="1" x14ac:dyDescent="0.2">
      <c r="A1065" s="15"/>
    </row>
    <row r="1066" spans="1:1" ht="20.25" customHeight="1" x14ac:dyDescent="0.2">
      <c r="A1066" s="15"/>
    </row>
    <row r="1067" spans="1:1" ht="20.25" customHeight="1" x14ac:dyDescent="0.2">
      <c r="A1067" s="15"/>
    </row>
    <row r="1068" spans="1:1" ht="20.25" customHeight="1" x14ac:dyDescent="0.2">
      <c r="A1068" s="15"/>
    </row>
    <row r="1069" spans="1:1" ht="20.25" customHeight="1" x14ac:dyDescent="0.2">
      <c r="A1069" s="15"/>
    </row>
    <row r="1070" spans="1:1" ht="20.25" customHeight="1" x14ac:dyDescent="0.2">
      <c r="A1070" s="15"/>
    </row>
    <row r="1071" spans="1:1" ht="20.25" customHeight="1" x14ac:dyDescent="0.2">
      <c r="A1071" s="15"/>
    </row>
    <row r="1072" spans="1:1" ht="20.25" customHeight="1" x14ac:dyDescent="0.2">
      <c r="A1072" s="15"/>
    </row>
    <row r="1073" spans="1:1" ht="20.25" customHeight="1" x14ac:dyDescent="0.2">
      <c r="A1073" s="15"/>
    </row>
    <row r="1074" spans="1:1" ht="20.25" customHeight="1" x14ac:dyDescent="0.2">
      <c r="A1074" s="15"/>
    </row>
    <row r="1075" spans="1:1" ht="20.25" customHeight="1" x14ac:dyDescent="0.2">
      <c r="A1075" s="15"/>
    </row>
    <row r="1076" spans="1:1" ht="20.25" customHeight="1" x14ac:dyDescent="0.2">
      <c r="A1076" s="15"/>
    </row>
    <row r="1077" spans="1:1" ht="20.25" customHeight="1" x14ac:dyDescent="0.2">
      <c r="A1077" s="15"/>
    </row>
    <row r="1078" spans="1:1" ht="20.25" customHeight="1" x14ac:dyDescent="0.2">
      <c r="A1078" s="15"/>
    </row>
    <row r="1079" spans="1:1" ht="20.25" customHeight="1" x14ac:dyDescent="0.2">
      <c r="A1079" s="15"/>
    </row>
    <row r="1080" spans="1:1" ht="20.25" customHeight="1" x14ac:dyDescent="0.2">
      <c r="A1080" s="15"/>
    </row>
    <row r="1081" spans="1:1" ht="20.25" customHeight="1" x14ac:dyDescent="0.2">
      <c r="A1081" s="15"/>
    </row>
    <row r="1082" spans="1:1" ht="20.25" customHeight="1" x14ac:dyDescent="0.2">
      <c r="A1082" s="15"/>
    </row>
    <row r="1083" spans="1:1" ht="20.25" customHeight="1" x14ac:dyDescent="0.2">
      <c r="A1083" s="15"/>
    </row>
    <row r="1084" spans="1:1" ht="20.25" customHeight="1" x14ac:dyDescent="0.2">
      <c r="A1084" s="15"/>
    </row>
    <row r="1085" spans="1:1" ht="20.25" customHeight="1" x14ac:dyDescent="0.2">
      <c r="A1085" s="15"/>
    </row>
    <row r="1086" spans="1:1" ht="20.25" customHeight="1" x14ac:dyDescent="0.2">
      <c r="A1086" s="15"/>
    </row>
    <row r="1087" spans="1:1" ht="20.25" customHeight="1" x14ac:dyDescent="0.2">
      <c r="A1087" s="15"/>
    </row>
    <row r="1088" spans="1:1" ht="20.25" customHeight="1" x14ac:dyDescent="0.2">
      <c r="A1088" s="15"/>
    </row>
    <row r="1089" spans="1:1" ht="20.25" customHeight="1" x14ac:dyDescent="0.2">
      <c r="A1089" s="15"/>
    </row>
    <row r="1090" spans="1:1" ht="20.25" customHeight="1" x14ac:dyDescent="0.2">
      <c r="A1090" s="15"/>
    </row>
    <row r="1091" spans="1:1" ht="20.25" customHeight="1" x14ac:dyDescent="0.2">
      <c r="A1091" s="15"/>
    </row>
    <row r="1092" spans="1:1" ht="20.25" customHeight="1" x14ac:dyDescent="0.2">
      <c r="A1092" s="15"/>
    </row>
    <row r="1093" spans="1:1" ht="20.25" customHeight="1" x14ac:dyDescent="0.2">
      <c r="A1093" s="15"/>
    </row>
    <row r="1094" spans="1:1" ht="20.25" customHeight="1" x14ac:dyDescent="0.2">
      <c r="A1094" s="15"/>
    </row>
    <row r="1095" spans="1:1" ht="20.25" customHeight="1" x14ac:dyDescent="0.2">
      <c r="A1095" s="15"/>
    </row>
    <row r="1096" spans="1:1" ht="20.25" customHeight="1" x14ac:dyDescent="0.2">
      <c r="A1096" s="15"/>
    </row>
    <row r="1097" spans="1:1" ht="20.25" customHeight="1" x14ac:dyDescent="0.2">
      <c r="A1097" s="15"/>
    </row>
    <row r="1098" spans="1:1" ht="20.25" customHeight="1" x14ac:dyDescent="0.2">
      <c r="A1098" s="15"/>
    </row>
    <row r="1099" spans="1:1" ht="20.25" customHeight="1" x14ac:dyDescent="0.2">
      <c r="A1099" s="15"/>
    </row>
    <row r="1100" spans="1:1" ht="20.25" customHeight="1" x14ac:dyDescent="0.2">
      <c r="A1100" s="15"/>
    </row>
    <row r="1101" spans="1:1" ht="20.25" customHeight="1" x14ac:dyDescent="0.2">
      <c r="A1101" s="15"/>
    </row>
    <row r="1102" spans="1:1" ht="20.25" customHeight="1" x14ac:dyDescent="0.2">
      <c r="A1102" s="15"/>
    </row>
    <row r="1103" spans="1:1" ht="20.25" customHeight="1" x14ac:dyDescent="0.2">
      <c r="A1103" s="15"/>
    </row>
    <row r="1104" spans="1:1" ht="20.25" customHeight="1" x14ac:dyDescent="0.2">
      <c r="A1104" s="15"/>
    </row>
    <row r="1105" spans="1:1" ht="20.25" customHeight="1" x14ac:dyDescent="0.2">
      <c r="A1105" s="15"/>
    </row>
    <row r="1106" spans="1:1" ht="20.25" customHeight="1" x14ac:dyDescent="0.2">
      <c r="A1106" s="15"/>
    </row>
    <row r="1107" spans="1:1" ht="20.25" customHeight="1" x14ac:dyDescent="0.2">
      <c r="A1107" s="15"/>
    </row>
    <row r="1108" spans="1:1" ht="20.25" customHeight="1" x14ac:dyDescent="0.2">
      <c r="A1108" s="15"/>
    </row>
    <row r="1109" spans="1:1" ht="20.25" customHeight="1" x14ac:dyDescent="0.2">
      <c r="A1109" s="15"/>
    </row>
    <row r="1110" spans="1:1" ht="20.25" customHeight="1" x14ac:dyDescent="0.2">
      <c r="A1110" s="15"/>
    </row>
    <row r="1111" spans="1:1" ht="20.25" customHeight="1" x14ac:dyDescent="0.2">
      <c r="A1111" s="15"/>
    </row>
    <row r="1112" spans="1:1" ht="20.25" customHeight="1" x14ac:dyDescent="0.2">
      <c r="A1112" s="15"/>
    </row>
    <row r="1113" spans="1:1" ht="20.25" customHeight="1" x14ac:dyDescent="0.2">
      <c r="A1113" s="15"/>
    </row>
    <row r="1114" spans="1:1" ht="20.25" customHeight="1" x14ac:dyDescent="0.2">
      <c r="A1114" s="15"/>
    </row>
    <row r="1115" spans="1:1" ht="20.25" customHeight="1" x14ac:dyDescent="0.2">
      <c r="A1115" s="15"/>
    </row>
    <row r="1116" spans="1:1" ht="20.25" customHeight="1" x14ac:dyDescent="0.2">
      <c r="A1116" s="15"/>
    </row>
    <row r="1117" spans="1:1" ht="20.25" customHeight="1" x14ac:dyDescent="0.2">
      <c r="A1117" s="15"/>
    </row>
    <row r="1118" spans="1:1" ht="20.25" customHeight="1" x14ac:dyDescent="0.2">
      <c r="A1118" s="15"/>
    </row>
    <row r="1119" spans="1:1" ht="20.25" customHeight="1" x14ac:dyDescent="0.2">
      <c r="A1119" s="15"/>
    </row>
    <row r="1120" spans="1:1" ht="20.25" customHeight="1" x14ac:dyDescent="0.2">
      <c r="A1120" s="15"/>
    </row>
    <row r="1121" spans="1:1" ht="20.25" customHeight="1" x14ac:dyDescent="0.2">
      <c r="A1121" s="15"/>
    </row>
    <row r="1122" spans="1:1" ht="20.25" customHeight="1" x14ac:dyDescent="0.2">
      <c r="A1122" s="15"/>
    </row>
    <row r="1123" spans="1:1" ht="20.25" customHeight="1" x14ac:dyDescent="0.2">
      <c r="A1123" s="15"/>
    </row>
    <row r="1124" spans="1:1" ht="20.25" customHeight="1" x14ac:dyDescent="0.2">
      <c r="A1124" s="15"/>
    </row>
    <row r="1125" spans="1:1" ht="20.25" customHeight="1" x14ac:dyDescent="0.2">
      <c r="A1125" s="15"/>
    </row>
    <row r="1126" spans="1:1" ht="20.25" customHeight="1" x14ac:dyDescent="0.2">
      <c r="A1126" s="15"/>
    </row>
    <row r="1127" spans="1:1" ht="20.25" customHeight="1" x14ac:dyDescent="0.2">
      <c r="A1127" s="15"/>
    </row>
    <row r="1128" spans="1:1" ht="20.25" customHeight="1" x14ac:dyDescent="0.2">
      <c r="A1128" s="15"/>
    </row>
    <row r="1129" spans="1:1" ht="20.25" customHeight="1" x14ac:dyDescent="0.2">
      <c r="A1129" s="15"/>
    </row>
    <row r="1130" spans="1:1" ht="20.25" customHeight="1" x14ac:dyDescent="0.2">
      <c r="A1130" s="15"/>
    </row>
    <row r="1131" spans="1:1" ht="20.25" customHeight="1" x14ac:dyDescent="0.2">
      <c r="A1131" s="15"/>
    </row>
    <row r="1132" spans="1:1" ht="20.25" customHeight="1" x14ac:dyDescent="0.2">
      <c r="A1132" s="15"/>
    </row>
    <row r="1133" spans="1:1" ht="20.25" customHeight="1" x14ac:dyDescent="0.2">
      <c r="A1133" s="15"/>
    </row>
    <row r="1134" spans="1:1" ht="20.25" customHeight="1" x14ac:dyDescent="0.2">
      <c r="A1134" s="15"/>
    </row>
    <row r="1135" spans="1:1" ht="20.25" customHeight="1" x14ac:dyDescent="0.2">
      <c r="A1135" s="15"/>
    </row>
    <row r="1136" spans="1:1" ht="20.25" customHeight="1" x14ac:dyDescent="0.2">
      <c r="A1136" s="15"/>
    </row>
    <row r="1137" spans="1:1" ht="20.25" customHeight="1" x14ac:dyDescent="0.2">
      <c r="A1137" s="15"/>
    </row>
    <row r="1138" spans="1:1" ht="20.25" customHeight="1" x14ac:dyDescent="0.2">
      <c r="A1138" s="15"/>
    </row>
    <row r="1139" spans="1:1" ht="20.25" customHeight="1" x14ac:dyDescent="0.2">
      <c r="A1139" s="15"/>
    </row>
    <row r="1140" spans="1:1" ht="20.25" customHeight="1" x14ac:dyDescent="0.2">
      <c r="A1140" s="15"/>
    </row>
    <row r="1141" spans="1:1" ht="20.25" customHeight="1" x14ac:dyDescent="0.2">
      <c r="A1141" s="15"/>
    </row>
    <row r="1142" spans="1:1" ht="20.25" customHeight="1" x14ac:dyDescent="0.2">
      <c r="A1142" s="15"/>
    </row>
    <row r="1143" spans="1:1" ht="20.25" customHeight="1" x14ac:dyDescent="0.2">
      <c r="A1143" s="15"/>
    </row>
    <row r="1144" spans="1:1" ht="20.25" customHeight="1" x14ac:dyDescent="0.2">
      <c r="A1144" s="15"/>
    </row>
    <row r="1145" spans="1:1" ht="20.25" customHeight="1" x14ac:dyDescent="0.2">
      <c r="A1145" s="15"/>
    </row>
    <row r="1146" spans="1:1" ht="20.25" customHeight="1" x14ac:dyDescent="0.2">
      <c r="A1146" s="15"/>
    </row>
    <row r="1147" spans="1:1" ht="20.25" customHeight="1" x14ac:dyDescent="0.2">
      <c r="A1147" s="15"/>
    </row>
    <row r="1148" spans="1:1" ht="20.25" customHeight="1" x14ac:dyDescent="0.2">
      <c r="A1148" s="15"/>
    </row>
    <row r="1149" spans="1:1" ht="20.25" customHeight="1" x14ac:dyDescent="0.2">
      <c r="A1149" s="15"/>
    </row>
    <row r="1150" spans="1:1" ht="20.25" customHeight="1" x14ac:dyDescent="0.2">
      <c r="A1150" s="15"/>
    </row>
    <row r="1151" spans="1:1" ht="20.25" customHeight="1" x14ac:dyDescent="0.2">
      <c r="A1151" s="15"/>
    </row>
    <row r="1152" spans="1:1" ht="20.25" customHeight="1" x14ac:dyDescent="0.2">
      <c r="A1152" s="15"/>
    </row>
    <row r="1153" spans="1:1" ht="20.25" customHeight="1" x14ac:dyDescent="0.2">
      <c r="A1153" s="15"/>
    </row>
    <row r="1154" spans="1:1" ht="20.25" customHeight="1" x14ac:dyDescent="0.2">
      <c r="A1154" s="15"/>
    </row>
    <row r="1155" spans="1:1" ht="20.25" customHeight="1" x14ac:dyDescent="0.2">
      <c r="A1155" s="15"/>
    </row>
    <row r="1156" spans="1:1" ht="20.25" customHeight="1" x14ac:dyDescent="0.2">
      <c r="A1156" s="15"/>
    </row>
    <row r="1157" spans="1:1" ht="20.25" customHeight="1" x14ac:dyDescent="0.2">
      <c r="A1157" s="15"/>
    </row>
    <row r="1158" spans="1:1" ht="20.25" customHeight="1" x14ac:dyDescent="0.2">
      <c r="A1158" s="15"/>
    </row>
    <row r="1159" spans="1:1" ht="20.25" customHeight="1" x14ac:dyDescent="0.2">
      <c r="A1159" s="15"/>
    </row>
    <row r="1160" spans="1:1" ht="20.25" customHeight="1" x14ac:dyDescent="0.2">
      <c r="A1160" s="15"/>
    </row>
    <row r="1161" spans="1:1" ht="20.25" customHeight="1" x14ac:dyDescent="0.2">
      <c r="A1161" s="15"/>
    </row>
    <row r="1162" spans="1:1" ht="20.25" customHeight="1" x14ac:dyDescent="0.2">
      <c r="A1162" s="15"/>
    </row>
    <row r="1163" spans="1:1" ht="20.25" customHeight="1" x14ac:dyDescent="0.2">
      <c r="A1163" s="15"/>
    </row>
    <row r="1164" spans="1:1" ht="20.25" customHeight="1" x14ac:dyDescent="0.2">
      <c r="A1164" s="15"/>
    </row>
    <row r="1165" spans="1:1" ht="20.25" customHeight="1" x14ac:dyDescent="0.2">
      <c r="A1165" s="15"/>
    </row>
    <row r="1166" spans="1:1" ht="20.25" customHeight="1" x14ac:dyDescent="0.2">
      <c r="A1166" s="15"/>
    </row>
    <row r="1167" spans="1:1" ht="20.25" customHeight="1" x14ac:dyDescent="0.2">
      <c r="A1167" s="15"/>
    </row>
    <row r="1168" spans="1:1" ht="20.25" customHeight="1" x14ac:dyDescent="0.2">
      <c r="A1168" s="15"/>
    </row>
    <row r="1169" spans="1:1" ht="20.25" customHeight="1" x14ac:dyDescent="0.2">
      <c r="A1169" s="15"/>
    </row>
    <row r="1170" spans="1:1" ht="20.25" customHeight="1" x14ac:dyDescent="0.2">
      <c r="A1170" s="15"/>
    </row>
    <row r="1171" spans="1:1" ht="20.25" customHeight="1" x14ac:dyDescent="0.2">
      <c r="A1171" s="15"/>
    </row>
    <row r="1172" spans="1:1" ht="20.25" customHeight="1" x14ac:dyDescent="0.2">
      <c r="A1172" s="15"/>
    </row>
    <row r="1173" spans="1:1" ht="20.25" customHeight="1" x14ac:dyDescent="0.2">
      <c r="A1173" s="15"/>
    </row>
    <row r="1174" spans="1:1" ht="20.25" customHeight="1" x14ac:dyDescent="0.2">
      <c r="A1174" s="15"/>
    </row>
    <row r="1175" spans="1:1" ht="20.25" customHeight="1" x14ac:dyDescent="0.2">
      <c r="A1175" s="15"/>
    </row>
    <row r="1176" spans="1:1" ht="20.25" customHeight="1" x14ac:dyDescent="0.2">
      <c r="A1176" s="15"/>
    </row>
    <row r="1177" spans="1:1" ht="20.25" customHeight="1" x14ac:dyDescent="0.2">
      <c r="A1177" s="15"/>
    </row>
    <row r="1178" spans="1:1" ht="20.25" customHeight="1" x14ac:dyDescent="0.2">
      <c r="A1178" s="15"/>
    </row>
    <row r="1179" spans="1:1" ht="20.25" customHeight="1" x14ac:dyDescent="0.2">
      <c r="A1179" s="15"/>
    </row>
    <row r="1180" spans="1:1" ht="20.25" customHeight="1" x14ac:dyDescent="0.2">
      <c r="A1180" s="15"/>
    </row>
    <row r="1181" spans="1:1" ht="20.25" customHeight="1" x14ac:dyDescent="0.2">
      <c r="A1181" s="15"/>
    </row>
    <row r="1182" spans="1:1" ht="20.25" customHeight="1" x14ac:dyDescent="0.2">
      <c r="A1182" s="15"/>
    </row>
    <row r="1183" spans="1:1" ht="20.25" customHeight="1" x14ac:dyDescent="0.2">
      <c r="A1183" s="15"/>
    </row>
    <row r="1184" spans="1:1" ht="20.25" customHeight="1" x14ac:dyDescent="0.2">
      <c r="A1184" s="15"/>
    </row>
    <row r="1185" spans="1:1" ht="20.25" customHeight="1" x14ac:dyDescent="0.2">
      <c r="A1185" s="15"/>
    </row>
    <row r="1186" spans="1:1" ht="20.25" customHeight="1" x14ac:dyDescent="0.2">
      <c r="A1186" s="15"/>
    </row>
    <row r="1187" spans="1:1" ht="20.25" customHeight="1" x14ac:dyDescent="0.2">
      <c r="A1187" s="15"/>
    </row>
    <row r="1188" spans="1:1" ht="20.25" customHeight="1" x14ac:dyDescent="0.2">
      <c r="A1188" s="15"/>
    </row>
    <row r="1189" spans="1:1" ht="20.25" customHeight="1" x14ac:dyDescent="0.2">
      <c r="A1189" s="15"/>
    </row>
    <row r="1190" spans="1:1" ht="20.25" customHeight="1" x14ac:dyDescent="0.2">
      <c r="A1190" s="15"/>
    </row>
    <row r="1191" spans="1:1" ht="20.25" customHeight="1" x14ac:dyDescent="0.2">
      <c r="A1191" s="15"/>
    </row>
    <row r="1192" spans="1:1" ht="20.25" customHeight="1" x14ac:dyDescent="0.2">
      <c r="A1192" s="15"/>
    </row>
    <row r="1193" spans="1:1" ht="20.25" customHeight="1" x14ac:dyDescent="0.2">
      <c r="A1193" s="15"/>
    </row>
    <row r="1194" spans="1:1" ht="20.25" customHeight="1" x14ac:dyDescent="0.2">
      <c r="A1194" s="15"/>
    </row>
    <row r="1195" spans="1:1" ht="20.25" customHeight="1" x14ac:dyDescent="0.2">
      <c r="A1195" s="15"/>
    </row>
    <row r="1196" spans="1:1" ht="20.25" customHeight="1" x14ac:dyDescent="0.2">
      <c r="A1196" s="15"/>
    </row>
    <row r="1197" spans="1:1" ht="20.25" customHeight="1" x14ac:dyDescent="0.2">
      <c r="A1197" s="15"/>
    </row>
    <row r="1198" spans="1:1" ht="20.25" customHeight="1" x14ac:dyDescent="0.2">
      <c r="A1198" s="15"/>
    </row>
    <row r="1199" spans="1:1" ht="20.25" customHeight="1" x14ac:dyDescent="0.2">
      <c r="A1199" s="15"/>
    </row>
    <row r="1200" spans="1:1" ht="20.25" customHeight="1" x14ac:dyDescent="0.2">
      <c r="A1200" s="15"/>
    </row>
    <row r="1201" spans="1:1" ht="20.25" customHeight="1" x14ac:dyDescent="0.2">
      <c r="A1201" s="15"/>
    </row>
    <row r="1202" spans="1:1" ht="20.25" customHeight="1" x14ac:dyDescent="0.2">
      <c r="A1202" s="15"/>
    </row>
    <row r="1203" spans="1:1" ht="20.25" customHeight="1" x14ac:dyDescent="0.2">
      <c r="A1203" s="15"/>
    </row>
    <row r="1204" spans="1:1" ht="20.25" customHeight="1" x14ac:dyDescent="0.2">
      <c r="A1204" s="15"/>
    </row>
    <row r="1205" spans="1:1" ht="20.25" customHeight="1" x14ac:dyDescent="0.2">
      <c r="A1205" s="15"/>
    </row>
    <row r="1206" spans="1:1" ht="20.25" customHeight="1" x14ac:dyDescent="0.2">
      <c r="A1206" s="15"/>
    </row>
    <row r="1207" spans="1:1" ht="20.25" customHeight="1" x14ac:dyDescent="0.2">
      <c r="A1207" s="15"/>
    </row>
    <row r="1208" spans="1:1" ht="20.25" customHeight="1" x14ac:dyDescent="0.2">
      <c r="A1208" s="15"/>
    </row>
    <row r="1209" spans="1:1" ht="20.25" customHeight="1" x14ac:dyDescent="0.2">
      <c r="A1209" s="15"/>
    </row>
    <row r="1210" spans="1:1" ht="20.25" customHeight="1" x14ac:dyDescent="0.2">
      <c r="A1210" s="15"/>
    </row>
    <row r="1211" spans="1:1" ht="20.25" customHeight="1" x14ac:dyDescent="0.2">
      <c r="A1211" s="15"/>
    </row>
    <row r="1212" spans="1:1" ht="20.25" customHeight="1" x14ac:dyDescent="0.2">
      <c r="A1212" s="15"/>
    </row>
    <row r="1213" spans="1:1" ht="20.25" customHeight="1" x14ac:dyDescent="0.2">
      <c r="A1213" s="15"/>
    </row>
    <row r="1214" spans="1:1" ht="20.25" customHeight="1" x14ac:dyDescent="0.2">
      <c r="A1214" s="15"/>
    </row>
    <row r="1215" spans="1:1" ht="20.25" customHeight="1" x14ac:dyDescent="0.2">
      <c r="A1215" s="15"/>
    </row>
    <row r="1216" spans="1:1" ht="20.25" customHeight="1" x14ac:dyDescent="0.2">
      <c r="A1216" s="15"/>
    </row>
    <row r="1217" spans="1:1" ht="20.25" customHeight="1" x14ac:dyDescent="0.2">
      <c r="A1217" s="15"/>
    </row>
    <row r="1218" spans="1:1" ht="20.25" customHeight="1" x14ac:dyDescent="0.2">
      <c r="A1218" s="15"/>
    </row>
    <row r="1219" spans="1:1" ht="20.25" customHeight="1" x14ac:dyDescent="0.2">
      <c r="A1219" s="15"/>
    </row>
    <row r="1220" spans="1:1" ht="20.25" customHeight="1" x14ac:dyDescent="0.2">
      <c r="A1220" s="15"/>
    </row>
    <row r="1221" spans="1:1" ht="20.25" customHeight="1" x14ac:dyDescent="0.2">
      <c r="A1221" s="15"/>
    </row>
    <row r="1222" spans="1:1" ht="20.25" customHeight="1" x14ac:dyDescent="0.2">
      <c r="A1222" s="15"/>
    </row>
    <row r="1223" spans="1:1" ht="20.25" customHeight="1" x14ac:dyDescent="0.2">
      <c r="A1223" s="15"/>
    </row>
    <row r="1224" spans="1:1" ht="20.25" customHeight="1" x14ac:dyDescent="0.2">
      <c r="A1224" s="15"/>
    </row>
    <row r="1225" spans="1:1" ht="20.25" customHeight="1" x14ac:dyDescent="0.2">
      <c r="A1225" s="15"/>
    </row>
    <row r="1226" spans="1:1" ht="20.25" customHeight="1" x14ac:dyDescent="0.2">
      <c r="A1226" s="15"/>
    </row>
    <row r="1227" spans="1:1" ht="20.25" customHeight="1" x14ac:dyDescent="0.2">
      <c r="A1227" s="15"/>
    </row>
    <row r="1228" spans="1:1" ht="20.25" customHeight="1" x14ac:dyDescent="0.2">
      <c r="A1228" s="15"/>
    </row>
    <row r="1229" spans="1:1" ht="20.25" customHeight="1" x14ac:dyDescent="0.2">
      <c r="A1229" s="15"/>
    </row>
    <row r="1230" spans="1:1" ht="20.25" customHeight="1" x14ac:dyDescent="0.2">
      <c r="A1230" s="15"/>
    </row>
    <row r="1231" spans="1:1" ht="20.25" customHeight="1" x14ac:dyDescent="0.2">
      <c r="A1231" s="15"/>
    </row>
    <row r="1232" spans="1:1" ht="20.25" customHeight="1" x14ac:dyDescent="0.2">
      <c r="A1232" s="15"/>
    </row>
    <row r="1233" spans="1:1" ht="20.25" customHeight="1" x14ac:dyDescent="0.2">
      <c r="A1233" s="15"/>
    </row>
    <row r="1234" spans="1:1" ht="20.25" customHeight="1" x14ac:dyDescent="0.2">
      <c r="A1234" s="15"/>
    </row>
    <row r="1235" spans="1:1" ht="20.25" customHeight="1" x14ac:dyDescent="0.2">
      <c r="A1235" s="15"/>
    </row>
    <row r="1236" spans="1:1" ht="20.25" customHeight="1" x14ac:dyDescent="0.2">
      <c r="A1236" s="15"/>
    </row>
    <row r="1237" spans="1:1" ht="20.25" customHeight="1" x14ac:dyDescent="0.2">
      <c r="A1237" s="15"/>
    </row>
    <row r="1238" spans="1:1" ht="20.25" customHeight="1" x14ac:dyDescent="0.2">
      <c r="A1238" s="15"/>
    </row>
    <row r="1239" spans="1:1" ht="20.25" customHeight="1" x14ac:dyDescent="0.2">
      <c r="A1239" s="15"/>
    </row>
    <row r="1240" spans="1:1" ht="20.25" customHeight="1" x14ac:dyDescent="0.2">
      <c r="A1240" s="15"/>
    </row>
    <row r="1241" spans="1:1" ht="20.25" customHeight="1" x14ac:dyDescent="0.2">
      <c r="A1241" s="15"/>
    </row>
    <row r="1242" spans="1:1" ht="20.25" customHeight="1" x14ac:dyDescent="0.2">
      <c r="A1242" s="15"/>
    </row>
    <row r="1243" spans="1:1" ht="20.25" customHeight="1" x14ac:dyDescent="0.2">
      <c r="A1243" s="15"/>
    </row>
    <row r="1244" spans="1:1" ht="20.25" customHeight="1" x14ac:dyDescent="0.2">
      <c r="A1244" s="15"/>
    </row>
    <row r="1245" spans="1:1" ht="20.25" customHeight="1" x14ac:dyDescent="0.2">
      <c r="A1245" s="15"/>
    </row>
    <row r="1246" spans="1:1" ht="20.25" customHeight="1" x14ac:dyDescent="0.2">
      <c r="A1246" s="15"/>
    </row>
    <row r="1247" spans="1:1" ht="20.25" customHeight="1" x14ac:dyDescent="0.2">
      <c r="A1247" s="15"/>
    </row>
    <row r="1248" spans="1:1" ht="20.25" customHeight="1" x14ac:dyDescent="0.2">
      <c r="A1248" s="15"/>
    </row>
    <row r="1249" spans="1:1" ht="20.25" customHeight="1" x14ac:dyDescent="0.2">
      <c r="A1249" s="15"/>
    </row>
    <row r="1250" spans="1:1" ht="20.25" customHeight="1" x14ac:dyDescent="0.2">
      <c r="A1250" s="15"/>
    </row>
    <row r="1251" spans="1:1" ht="20.25" customHeight="1" x14ac:dyDescent="0.2">
      <c r="A1251" s="15"/>
    </row>
    <row r="1252" spans="1:1" ht="20.25" customHeight="1" x14ac:dyDescent="0.2">
      <c r="A1252" s="15"/>
    </row>
    <row r="1253" spans="1:1" ht="20.25" customHeight="1" x14ac:dyDescent="0.2">
      <c r="A1253" s="15"/>
    </row>
    <row r="1254" spans="1:1" ht="20.25" customHeight="1" x14ac:dyDescent="0.2">
      <c r="A1254" s="15"/>
    </row>
    <row r="1255" spans="1:1" ht="20.25" customHeight="1" x14ac:dyDescent="0.2">
      <c r="A1255" s="15"/>
    </row>
    <row r="1256" spans="1:1" ht="20.25" customHeight="1" x14ac:dyDescent="0.2">
      <c r="A1256" s="15"/>
    </row>
    <row r="1257" spans="1:1" ht="20.25" customHeight="1" x14ac:dyDescent="0.2">
      <c r="A1257" s="15"/>
    </row>
    <row r="1258" spans="1:1" ht="20.25" customHeight="1" x14ac:dyDescent="0.2">
      <c r="A1258" s="15"/>
    </row>
    <row r="1259" spans="1:1" ht="20.25" customHeight="1" x14ac:dyDescent="0.2">
      <c r="A1259" s="15"/>
    </row>
    <row r="1260" spans="1:1" ht="20.25" customHeight="1" x14ac:dyDescent="0.2">
      <c r="A1260" s="15"/>
    </row>
    <row r="1261" spans="1:1" ht="20.25" customHeight="1" x14ac:dyDescent="0.2">
      <c r="A1261" s="15"/>
    </row>
    <row r="1262" spans="1:1" ht="20.25" customHeight="1" x14ac:dyDescent="0.2">
      <c r="A1262" s="15"/>
    </row>
    <row r="1263" spans="1:1" ht="20.25" customHeight="1" x14ac:dyDescent="0.2">
      <c r="A1263" s="15"/>
    </row>
    <row r="1264" spans="1:1" ht="20.25" customHeight="1" x14ac:dyDescent="0.2">
      <c r="A1264" s="15"/>
    </row>
    <row r="1265" spans="1:1" ht="20.25" customHeight="1" x14ac:dyDescent="0.2">
      <c r="A1265" s="15"/>
    </row>
    <row r="1266" spans="1:1" ht="20.25" customHeight="1" x14ac:dyDescent="0.2">
      <c r="A1266" s="15"/>
    </row>
    <row r="1267" spans="1:1" ht="20.25" customHeight="1" x14ac:dyDescent="0.2">
      <c r="A1267" s="15"/>
    </row>
    <row r="1268" spans="1:1" ht="20.25" customHeight="1" x14ac:dyDescent="0.2">
      <c r="A1268" s="15"/>
    </row>
    <row r="1269" spans="1:1" ht="20.25" customHeight="1" x14ac:dyDescent="0.2">
      <c r="A1269" s="15"/>
    </row>
    <row r="1270" spans="1:1" ht="20.25" customHeight="1" x14ac:dyDescent="0.2">
      <c r="A1270" s="15"/>
    </row>
    <row r="1271" spans="1:1" ht="20.25" customHeight="1" x14ac:dyDescent="0.2">
      <c r="A1271" s="15"/>
    </row>
    <row r="1272" spans="1:1" ht="20.25" customHeight="1" x14ac:dyDescent="0.2">
      <c r="A1272" s="15"/>
    </row>
    <row r="1273" spans="1:1" ht="20.25" customHeight="1" x14ac:dyDescent="0.2">
      <c r="A1273" s="15"/>
    </row>
    <row r="1274" spans="1:1" ht="20.25" customHeight="1" x14ac:dyDescent="0.2">
      <c r="A1274" s="15"/>
    </row>
    <row r="1275" spans="1:1" ht="20.25" customHeight="1" x14ac:dyDescent="0.2">
      <c r="A1275" s="15"/>
    </row>
    <row r="1276" spans="1:1" ht="20.25" customHeight="1" x14ac:dyDescent="0.2">
      <c r="A1276" s="15"/>
    </row>
    <row r="1277" spans="1:1" ht="20.25" customHeight="1" x14ac:dyDescent="0.2">
      <c r="A1277" s="15"/>
    </row>
    <row r="1278" spans="1:1" ht="20.25" customHeight="1" x14ac:dyDescent="0.2">
      <c r="A1278" s="15"/>
    </row>
    <row r="1279" spans="1:1" ht="20.25" customHeight="1" x14ac:dyDescent="0.2">
      <c r="A1279" s="15"/>
    </row>
    <row r="1280" spans="1:1" ht="20.25" customHeight="1" x14ac:dyDescent="0.2">
      <c r="A1280" s="15"/>
    </row>
    <row r="1281" spans="1:1" ht="20.25" customHeight="1" x14ac:dyDescent="0.2">
      <c r="A1281" s="15"/>
    </row>
    <row r="1282" spans="1:1" ht="20.25" customHeight="1" x14ac:dyDescent="0.2">
      <c r="A1282" s="15"/>
    </row>
    <row r="1283" spans="1:1" ht="20.25" customHeight="1" x14ac:dyDescent="0.2">
      <c r="A1283" s="15"/>
    </row>
    <row r="1284" spans="1:1" ht="20.25" customHeight="1" x14ac:dyDescent="0.2">
      <c r="A1284" s="15"/>
    </row>
    <row r="1285" spans="1:1" ht="20.25" customHeight="1" x14ac:dyDescent="0.2">
      <c r="A1285" s="15"/>
    </row>
    <row r="1286" spans="1:1" ht="20.25" customHeight="1" x14ac:dyDescent="0.2">
      <c r="A1286" s="15"/>
    </row>
    <row r="1287" spans="1:1" ht="20.25" customHeight="1" x14ac:dyDescent="0.2">
      <c r="A1287" s="15"/>
    </row>
    <row r="1288" spans="1:1" ht="20.25" customHeight="1" x14ac:dyDescent="0.2">
      <c r="A1288" s="15"/>
    </row>
    <row r="1289" spans="1:1" ht="20.25" customHeight="1" x14ac:dyDescent="0.2">
      <c r="A1289" s="15"/>
    </row>
    <row r="1290" spans="1:1" ht="20.25" customHeight="1" x14ac:dyDescent="0.2">
      <c r="A1290" s="15"/>
    </row>
    <row r="1291" spans="1:1" ht="20.25" customHeight="1" x14ac:dyDescent="0.2">
      <c r="A1291" s="15"/>
    </row>
    <row r="1292" spans="1:1" ht="20.25" customHeight="1" x14ac:dyDescent="0.2">
      <c r="A1292" s="15"/>
    </row>
    <row r="1293" spans="1:1" ht="20.25" customHeight="1" x14ac:dyDescent="0.2">
      <c r="A1293" s="15"/>
    </row>
    <row r="1294" spans="1:1" ht="20.25" customHeight="1" x14ac:dyDescent="0.2">
      <c r="A1294" s="15"/>
    </row>
    <row r="1295" spans="1:1" ht="20.25" customHeight="1" x14ac:dyDescent="0.2">
      <c r="A1295" s="15"/>
    </row>
    <row r="1296" spans="1:1" ht="20.25" customHeight="1" x14ac:dyDescent="0.2">
      <c r="A1296" s="15"/>
    </row>
    <row r="1297" spans="1:1" ht="20.25" customHeight="1" x14ac:dyDescent="0.2">
      <c r="A1297" s="15"/>
    </row>
    <row r="1298" spans="1:1" ht="20.25" customHeight="1" x14ac:dyDescent="0.2">
      <c r="A1298" s="15"/>
    </row>
    <row r="1299" spans="1:1" ht="20.25" customHeight="1" x14ac:dyDescent="0.2">
      <c r="A1299" s="15"/>
    </row>
    <row r="1300" spans="1:1" ht="20.25" customHeight="1" x14ac:dyDescent="0.2">
      <c r="A1300" s="15"/>
    </row>
    <row r="1301" spans="1:1" ht="20.25" customHeight="1" x14ac:dyDescent="0.2">
      <c r="A1301" s="15"/>
    </row>
    <row r="1302" spans="1:1" ht="20.25" customHeight="1" x14ac:dyDescent="0.2">
      <c r="A1302" s="15"/>
    </row>
    <row r="1303" spans="1:1" ht="20.25" customHeight="1" x14ac:dyDescent="0.2">
      <c r="A1303" s="15"/>
    </row>
    <row r="1304" spans="1:1" ht="20.25" customHeight="1" x14ac:dyDescent="0.2">
      <c r="A1304" s="15"/>
    </row>
    <row r="1305" spans="1:1" ht="20.25" customHeight="1" x14ac:dyDescent="0.2">
      <c r="A1305" s="15"/>
    </row>
    <row r="1306" spans="1:1" ht="20.25" customHeight="1" x14ac:dyDescent="0.2">
      <c r="A1306" s="15"/>
    </row>
    <row r="1307" spans="1:1" ht="20.25" customHeight="1" x14ac:dyDescent="0.2">
      <c r="A1307" s="15"/>
    </row>
    <row r="1308" spans="1:1" ht="20.25" customHeight="1" x14ac:dyDescent="0.2">
      <c r="A1308" s="15"/>
    </row>
    <row r="1309" spans="1:1" ht="20.25" customHeight="1" x14ac:dyDescent="0.2">
      <c r="A1309" s="15"/>
    </row>
    <row r="1310" spans="1:1" ht="20.25" customHeight="1" x14ac:dyDescent="0.2">
      <c r="A1310" s="15"/>
    </row>
    <row r="1311" spans="1:1" ht="20.25" customHeight="1" x14ac:dyDescent="0.2">
      <c r="A1311" s="15"/>
    </row>
    <row r="1312" spans="1:1" ht="20.25" customHeight="1" x14ac:dyDescent="0.2">
      <c r="A1312" s="15"/>
    </row>
    <row r="1313" spans="1:1" ht="20.25" customHeight="1" x14ac:dyDescent="0.2">
      <c r="A1313" s="15"/>
    </row>
    <row r="1314" spans="1:1" ht="20.25" customHeight="1" x14ac:dyDescent="0.2">
      <c r="A1314" s="15"/>
    </row>
    <row r="1315" spans="1:1" ht="20.25" customHeight="1" x14ac:dyDescent="0.2">
      <c r="A1315" s="15"/>
    </row>
    <row r="1316" spans="1:1" ht="20.25" customHeight="1" x14ac:dyDescent="0.2">
      <c r="A1316" s="15"/>
    </row>
    <row r="1317" spans="1:1" ht="20.25" customHeight="1" x14ac:dyDescent="0.2">
      <c r="A1317" s="15"/>
    </row>
    <row r="1318" spans="1:1" ht="20.25" customHeight="1" x14ac:dyDescent="0.2">
      <c r="A1318" s="15"/>
    </row>
    <row r="1319" spans="1:1" ht="20.25" customHeight="1" x14ac:dyDescent="0.2">
      <c r="A1319" s="15"/>
    </row>
    <row r="1320" spans="1:1" ht="20.25" customHeight="1" x14ac:dyDescent="0.2">
      <c r="A1320" s="15"/>
    </row>
    <row r="1321" spans="1:1" ht="20.25" customHeight="1" x14ac:dyDescent="0.2">
      <c r="A1321" s="15"/>
    </row>
    <row r="1322" spans="1:1" ht="20.25" customHeight="1" x14ac:dyDescent="0.2">
      <c r="A1322" s="15"/>
    </row>
    <row r="1323" spans="1:1" ht="20.25" customHeight="1" x14ac:dyDescent="0.2">
      <c r="A1323" s="15"/>
    </row>
    <row r="1324" spans="1:1" ht="20.25" customHeight="1" x14ac:dyDescent="0.2">
      <c r="A1324" s="15"/>
    </row>
    <row r="1325" spans="1:1" ht="20.25" customHeight="1" x14ac:dyDescent="0.2">
      <c r="A1325" s="15"/>
    </row>
    <row r="1326" spans="1:1" ht="20.25" customHeight="1" x14ac:dyDescent="0.2">
      <c r="A1326" s="15"/>
    </row>
    <row r="1327" spans="1:1" ht="20.25" customHeight="1" x14ac:dyDescent="0.2">
      <c r="A1327" s="15"/>
    </row>
    <row r="1328" spans="1:1" ht="20.25" customHeight="1" x14ac:dyDescent="0.2">
      <c r="A1328" s="15"/>
    </row>
    <row r="1329" spans="1:1" ht="20.25" customHeight="1" x14ac:dyDescent="0.2">
      <c r="A1329" s="15"/>
    </row>
    <row r="1330" spans="1:1" ht="20.25" customHeight="1" x14ac:dyDescent="0.2">
      <c r="A1330" s="15"/>
    </row>
    <row r="1331" spans="1:1" ht="20.25" customHeight="1" x14ac:dyDescent="0.2">
      <c r="A1331" s="15"/>
    </row>
    <row r="1332" spans="1:1" ht="20.25" customHeight="1" x14ac:dyDescent="0.2">
      <c r="A1332" s="15"/>
    </row>
    <row r="1333" spans="1:1" ht="20.25" customHeight="1" x14ac:dyDescent="0.2">
      <c r="A1333" s="15"/>
    </row>
    <row r="1334" spans="1:1" ht="20.25" customHeight="1" x14ac:dyDescent="0.2">
      <c r="A1334" s="15"/>
    </row>
    <row r="1335" spans="1:1" ht="20.25" customHeight="1" x14ac:dyDescent="0.2">
      <c r="A1335" s="15"/>
    </row>
    <row r="1336" spans="1:1" ht="20.25" customHeight="1" x14ac:dyDescent="0.2">
      <c r="A1336" s="15"/>
    </row>
    <row r="1337" spans="1:1" ht="20.25" customHeight="1" x14ac:dyDescent="0.2">
      <c r="A1337" s="15"/>
    </row>
    <row r="1338" spans="1:1" ht="20.25" customHeight="1" x14ac:dyDescent="0.2">
      <c r="A1338" s="15"/>
    </row>
    <row r="1339" spans="1:1" ht="20.25" customHeight="1" x14ac:dyDescent="0.2">
      <c r="A1339" s="15"/>
    </row>
    <row r="1340" spans="1:1" ht="20.25" customHeight="1" x14ac:dyDescent="0.2">
      <c r="A1340" s="15"/>
    </row>
    <row r="1341" spans="1:1" ht="20.25" customHeight="1" x14ac:dyDescent="0.2">
      <c r="A1341" s="15"/>
    </row>
    <row r="1342" spans="1:1" ht="20.25" customHeight="1" x14ac:dyDescent="0.2">
      <c r="A1342" s="15"/>
    </row>
    <row r="1343" spans="1:1" ht="20.25" customHeight="1" x14ac:dyDescent="0.2">
      <c r="A1343" s="15"/>
    </row>
    <row r="1344" spans="1:1" ht="20.25" customHeight="1" x14ac:dyDescent="0.2">
      <c r="A1344" s="15"/>
    </row>
    <row r="1345" spans="1:1" ht="20.25" customHeight="1" x14ac:dyDescent="0.2">
      <c r="A1345" s="15"/>
    </row>
    <row r="1346" spans="1:1" ht="20.25" customHeight="1" x14ac:dyDescent="0.2">
      <c r="A1346" s="15"/>
    </row>
    <row r="1347" spans="1:1" ht="20.25" customHeight="1" x14ac:dyDescent="0.2">
      <c r="A1347" s="15"/>
    </row>
    <row r="1348" spans="1:1" ht="20.25" customHeight="1" x14ac:dyDescent="0.2">
      <c r="A1348" s="15"/>
    </row>
    <row r="1349" spans="1:1" ht="20.25" customHeight="1" x14ac:dyDescent="0.2">
      <c r="A1349" s="15"/>
    </row>
    <row r="1350" spans="1:1" ht="20.25" customHeight="1" x14ac:dyDescent="0.2">
      <c r="A1350" s="15"/>
    </row>
    <row r="1351" spans="1:1" ht="20.25" customHeight="1" x14ac:dyDescent="0.2">
      <c r="A1351" s="15"/>
    </row>
    <row r="1352" spans="1:1" ht="20.25" customHeight="1" x14ac:dyDescent="0.2">
      <c r="A1352" s="15"/>
    </row>
    <row r="1353" spans="1:1" ht="20.25" customHeight="1" x14ac:dyDescent="0.2">
      <c r="A1353" s="15"/>
    </row>
    <row r="1354" spans="1:1" ht="20.25" customHeight="1" x14ac:dyDescent="0.2">
      <c r="A1354" s="15"/>
    </row>
    <row r="1355" spans="1:1" ht="20.25" customHeight="1" x14ac:dyDescent="0.2">
      <c r="A1355" s="15"/>
    </row>
    <row r="1356" spans="1:1" ht="20.25" customHeight="1" x14ac:dyDescent="0.2">
      <c r="A1356" s="15"/>
    </row>
    <row r="1357" spans="1:1" ht="20.25" customHeight="1" x14ac:dyDescent="0.2">
      <c r="A1357" s="15"/>
    </row>
    <row r="1358" spans="1:1" ht="20.25" customHeight="1" x14ac:dyDescent="0.2">
      <c r="A1358" s="15"/>
    </row>
    <row r="1359" spans="1:1" ht="20.25" customHeight="1" x14ac:dyDescent="0.2">
      <c r="A1359" s="15"/>
    </row>
    <row r="1360" spans="1:1" ht="20.25" customHeight="1" x14ac:dyDescent="0.2">
      <c r="A1360" s="15"/>
    </row>
    <row r="1361" spans="1:1" ht="20.25" customHeight="1" x14ac:dyDescent="0.2">
      <c r="A1361" s="15"/>
    </row>
    <row r="1362" spans="1:1" ht="20.25" customHeight="1" x14ac:dyDescent="0.2">
      <c r="A1362" s="15"/>
    </row>
    <row r="1363" spans="1:1" ht="20.25" customHeight="1" x14ac:dyDescent="0.2">
      <c r="A1363" s="15"/>
    </row>
    <row r="1364" spans="1:1" ht="20.25" customHeight="1" x14ac:dyDescent="0.2">
      <c r="A1364" s="15"/>
    </row>
    <row r="1365" spans="1:1" ht="20.25" customHeight="1" x14ac:dyDescent="0.2">
      <c r="A1365" s="15"/>
    </row>
    <row r="1366" spans="1:1" ht="20.25" customHeight="1" x14ac:dyDescent="0.2">
      <c r="A1366" s="15"/>
    </row>
    <row r="1367" spans="1:1" ht="20.25" customHeight="1" x14ac:dyDescent="0.2">
      <c r="A1367" s="15"/>
    </row>
    <row r="1368" spans="1:1" ht="20.25" customHeight="1" x14ac:dyDescent="0.2">
      <c r="A1368" s="15"/>
    </row>
    <row r="1369" spans="1:1" ht="20.25" customHeight="1" x14ac:dyDescent="0.2">
      <c r="A1369" s="15"/>
    </row>
    <row r="1370" spans="1:1" ht="20.25" customHeight="1" x14ac:dyDescent="0.2">
      <c r="A1370" s="15"/>
    </row>
    <row r="1371" spans="1:1" ht="20.25" customHeight="1" x14ac:dyDescent="0.2">
      <c r="A1371" s="15"/>
    </row>
    <row r="1372" spans="1:1" ht="20.25" customHeight="1" x14ac:dyDescent="0.2">
      <c r="A1372" s="15"/>
    </row>
    <row r="1373" spans="1:1" ht="20.25" customHeight="1" x14ac:dyDescent="0.2">
      <c r="A1373" s="15"/>
    </row>
    <row r="1374" spans="1:1" ht="20.25" customHeight="1" x14ac:dyDescent="0.2">
      <c r="A1374" s="15"/>
    </row>
    <row r="1375" spans="1:1" ht="20.25" customHeight="1" x14ac:dyDescent="0.2">
      <c r="A1375" s="15"/>
    </row>
    <row r="1376" spans="1:1" ht="20.25" customHeight="1" x14ac:dyDescent="0.2">
      <c r="A1376" s="15"/>
    </row>
    <row r="1377" spans="1:1" ht="20.25" customHeight="1" x14ac:dyDescent="0.2">
      <c r="A1377" s="15"/>
    </row>
    <row r="1378" spans="1:1" ht="20.25" customHeight="1" x14ac:dyDescent="0.2">
      <c r="A1378" s="15"/>
    </row>
    <row r="1379" spans="1:1" ht="20.25" customHeight="1" x14ac:dyDescent="0.2">
      <c r="A1379" s="15"/>
    </row>
    <row r="1380" spans="1:1" ht="20.25" customHeight="1" x14ac:dyDescent="0.2">
      <c r="A1380" s="15"/>
    </row>
    <row r="1381" spans="1:1" ht="20.25" customHeight="1" x14ac:dyDescent="0.2">
      <c r="A1381" s="15"/>
    </row>
    <row r="1382" spans="1:1" ht="20.25" customHeight="1" x14ac:dyDescent="0.2">
      <c r="A1382" s="15"/>
    </row>
    <row r="1383" spans="1:1" ht="20.25" customHeight="1" x14ac:dyDescent="0.2">
      <c r="A1383" s="15"/>
    </row>
    <row r="1384" spans="1:1" ht="20.25" customHeight="1" x14ac:dyDescent="0.2">
      <c r="A1384" s="15"/>
    </row>
    <row r="1385" spans="1:1" ht="20.25" customHeight="1" x14ac:dyDescent="0.2">
      <c r="A1385" s="15"/>
    </row>
    <row r="1386" spans="1:1" ht="20.25" customHeight="1" x14ac:dyDescent="0.2">
      <c r="A1386" s="15"/>
    </row>
    <row r="1387" spans="1:1" ht="20.25" customHeight="1" x14ac:dyDescent="0.2">
      <c r="A1387" s="15"/>
    </row>
    <row r="1388" spans="1:1" ht="20.25" customHeight="1" x14ac:dyDescent="0.2">
      <c r="A1388" s="15"/>
    </row>
    <row r="1389" spans="1:1" ht="20.25" customHeight="1" x14ac:dyDescent="0.2">
      <c r="A1389" s="15"/>
    </row>
    <row r="1390" spans="1:1" ht="20.25" customHeight="1" x14ac:dyDescent="0.2">
      <c r="A1390" s="15"/>
    </row>
    <row r="1391" spans="1:1" ht="20.25" customHeight="1" x14ac:dyDescent="0.2">
      <c r="A1391" s="15"/>
    </row>
    <row r="1392" spans="1:1" ht="20.25" customHeight="1" x14ac:dyDescent="0.2">
      <c r="A1392" s="15"/>
    </row>
    <row r="1393" spans="1:1" ht="20.25" customHeight="1" x14ac:dyDescent="0.2">
      <c r="A1393" s="15"/>
    </row>
    <row r="1394" spans="1:1" ht="20.25" customHeight="1" x14ac:dyDescent="0.2">
      <c r="A1394" s="15"/>
    </row>
    <row r="1395" spans="1:1" ht="20.25" customHeight="1" x14ac:dyDescent="0.2">
      <c r="A1395" s="15"/>
    </row>
    <row r="1396" spans="1:1" ht="20.25" customHeight="1" x14ac:dyDescent="0.2">
      <c r="A1396" s="15"/>
    </row>
    <row r="1397" spans="1:1" ht="20.25" customHeight="1" x14ac:dyDescent="0.2">
      <c r="A1397" s="15"/>
    </row>
    <row r="1398" spans="1:1" ht="20.25" customHeight="1" x14ac:dyDescent="0.2">
      <c r="A1398" s="15"/>
    </row>
    <row r="1399" spans="1:1" ht="20.25" customHeight="1" x14ac:dyDescent="0.2">
      <c r="A1399" s="15"/>
    </row>
    <row r="1400" spans="1:1" ht="20.25" customHeight="1" x14ac:dyDescent="0.2">
      <c r="A1400" s="15"/>
    </row>
    <row r="1401" spans="1:1" ht="20.25" customHeight="1" x14ac:dyDescent="0.2">
      <c r="A1401" s="15"/>
    </row>
    <row r="1402" spans="1:1" ht="20.25" customHeight="1" x14ac:dyDescent="0.2">
      <c r="A1402" s="15"/>
    </row>
    <row r="1403" spans="1:1" ht="20.25" customHeight="1" x14ac:dyDescent="0.2">
      <c r="A1403" s="15"/>
    </row>
    <row r="1404" spans="1:1" ht="20.25" customHeight="1" x14ac:dyDescent="0.2">
      <c r="A1404" s="15"/>
    </row>
    <row r="1405" spans="1:1" ht="20.25" customHeight="1" x14ac:dyDescent="0.2">
      <c r="A1405" s="15"/>
    </row>
    <row r="1406" spans="1:1" ht="20.25" customHeight="1" x14ac:dyDescent="0.2">
      <c r="A1406" s="15"/>
    </row>
    <row r="1407" spans="1:1" ht="20.25" customHeight="1" x14ac:dyDescent="0.2">
      <c r="A1407" s="15"/>
    </row>
    <row r="1408" spans="1:1" ht="20.25" customHeight="1" x14ac:dyDescent="0.2">
      <c r="A1408" s="15"/>
    </row>
    <row r="1409" spans="1:1" ht="20.25" customHeight="1" x14ac:dyDescent="0.2">
      <c r="A1409" s="15"/>
    </row>
    <row r="1410" spans="1:1" ht="20.25" customHeight="1" x14ac:dyDescent="0.2">
      <c r="A1410" s="15"/>
    </row>
    <row r="1411" spans="1:1" ht="20.25" customHeight="1" x14ac:dyDescent="0.2">
      <c r="A1411" s="15"/>
    </row>
    <row r="1412" spans="1:1" ht="20.25" customHeight="1" x14ac:dyDescent="0.2">
      <c r="A1412" s="15"/>
    </row>
    <row r="1413" spans="1:1" ht="20.25" customHeight="1" x14ac:dyDescent="0.2">
      <c r="A1413" s="15"/>
    </row>
    <row r="1414" spans="1:1" ht="20.25" customHeight="1" x14ac:dyDescent="0.2">
      <c r="A1414" s="15"/>
    </row>
    <row r="1415" spans="1:1" ht="20.25" customHeight="1" x14ac:dyDescent="0.2">
      <c r="A1415" s="15"/>
    </row>
    <row r="1416" spans="1:1" ht="20.25" customHeight="1" x14ac:dyDescent="0.2">
      <c r="A1416" s="15"/>
    </row>
    <row r="1417" spans="1:1" ht="20.25" customHeight="1" x14ac:dyDescent="0.2">
      <c r="A1417" s="15"/>
    </row>
    <row r="1418" spans="1:1" ht="20.25" customHeight="1" x14ac:dyDescent="0.2">
      <c r="A1418" s="15"/>
    </row>
    <row r="1419" spans="1:1" ht="20.25" customHeight="1" x14ac:dyDescent="0.2">
      <c r="A1419" s="15"/>
    </row>
    <row r="1420" spans="1:1" ht="20.25" customHeight="1" x14ac:dyDescent="0.2">
      <c r="A1420" s="15"/>
    </row>
    <row r="1421" spans="1:1" ht="20.25" customHeight="1" x14ac:dyDescent="0.2">
      <c r="A1421" s="15"/>
    </row>
    <row r="1422" spans="1:1" ht="20.25" customHeight="1" x14ac:dyDescent="0.2">
      <c r="A1422" s="15"/>
    </row>
    <row r="1423" spans="1:1" ht="20.25" customHeight="1" x14ac:dyDescent="0.2">
      <c r="A1423" s="15"/>
    </row>
    <row r="1424" spans="1:1" ht="20.25" customHeight="1" x14ac:dyDescent="0.2">
      <c r="A1424" s="15"/>
    </row>
    <row r="1425" spans="1:1" ht="20.25" customHeight="1" x14ac:dyDescent="0.2">
      <c r="A1425" s="15"/>
    </row>
    <row r="1426" spans="1:1" ht="20.25" customHeight="1" x14ac:dyDescent="0.2">
      <c r="A1426" s="15"/>
    </row>
    <row r="1427" spans="1:1" ht="20.25" customHeight="1" x14ac:dyDescent="0.2">
      <c r="A1427" s="15"/>
    </row>
    <row r="1428" spans="1:1" ht="20.25" customHeight="1" x14ac:dyDescent="0.2">
      <c r="A1428" s="15"/>
    </row>
    <row r="1429" spans="1:1" ht="20.25" customHeight="1" x14ac:dyDescent="0.2">
      <c r="A1429" s="15"/>
    </row>
    <row r="1430" spans="1:1" ht="20.25" customHeight="1" x14ac:dyDescent="0.2">
      <c r="A1430" s="15"/>
    </row>
    <row r="1431" spans="1:1" ht="20.25" customHeight="1" x14ac:dyDescent="0.2">
      <c r="A1431" s="15"/>
    </row>
    <row r="1432" spans="1:1" ht="20.25" customHeight="1" x14ac:dyDescent="0.2">
      <c r="A1432" s="15"/>
    </row>
    <row r="1433" spans="1:1" ht="20.25" customHeight="1" x14ac:dyDescent="0.2">
      <c r="A1433" s="15"/>
    </row>
    <row r="1434" spans="1:1" ht="20.25" customHeight="1" x14ac:dyDescent="0.2">
      <c r="A1434" s="15"/>
    </row>
    <row r="1435" spans="1:1" ht="20.25" customHeight="1" x14ac:dyDescent="0.2">
      <c r="A1435" s="15"/>
    </row>
    <row r="1436" spans="1:1" ht="20.25" customHeight="1" x14ac:dyDescent="0.2">
      <c r="A1436" s="15"/>
    </row>
    <row r="1437" spans="1:1" ht="20.25" customHeight="1" x14ac:dyDescent="0.2">
      <c r="A1437" s="15"/>
    </row>
    <row r="1438" spans="1:1" ht="20.25" customHeight="1" x14ac:dyDescent="0.2">
      <c r="A1438" s="15"/>
    </row>
    <row r="1439" spans="1:1" ht="20.25" customHeight="1" x14ac:dyDescent="0.2">
      <c r="A1439" s="15"/>
    </row>
    <row r="1440" spans="1:1" ht="20.25" customHeight="1" x14ac:dyDescent="0.2">
      <c r="A1440" s="15"/>
    </row>
    <row r="1441" spans="1:1" ht="20.25" customHeight="1" x14ac:dyDescent="0.2">
      <c r="A1441" s="15"/>
    </row>
    <row r="1442" spans="1:1" ht="20.25" customHeight="1" x14ac:dyDescent="0.2">
      <c r="A1442" s="15"/>
    </row>
    <row r="1443" spans="1:1" ht="20.25" customHeight="1" x14ac:dyDescent="0.2">
      <c r="A1443" s="15"/>
    </row>
    <row r="1444" spans="1:1" ht="20.25" customHeight="1" x14ac:dyDescent="0.2">
      <c r="A1444" s="15"/>
    </row>
    <row r="1445" spans="1:1" ht="20.25" customHeight="1" x14ac:dyDescent="0.2">
      <c r="A1445" s="15"/>
    </row>
    <row r="1446" spans="1:1" ht="20.25" customHeight="1" x14ac:dyDescent="0.2">
      <c r="A1446" s="15"/>
    </row>
    <row r="1447" spans="1:1" ht="20.25" customHeight="1" x14ac:dyDescent="0.2">
      <c r="A1447" s="15"/>
    </row>
    <row r="1448" spans="1:1" ht="20.25" customHeight="1" x14ac:dyDescent="0.2">
      <c r="A1448" s="15"/>
    </row>
    <row r="1449" spans="1:1" ht="20.25" customHeight="1" x14ac:dyDescent="0.2">
      <c r="A1449" s="15"/>
    </row>
    <row r="1450" spans="1:1" ht="20.25" customHeight="1" x14ac:dyDescent="0.2">
      <c r="A1450" s="15"/>
    </row>
    <row r="1451" spans="1:1" ht="20.25" customHeight="1" x14ac:dyDescent="0.2">
      <c r="A1451" s="15"/>
    </row>
    <row r="1452" spans="1:1" ht="20.25" customHeight="1" x14ac:dyDescent="0.2">
      <c r="A1452" s="15"/>
    </row>
    <row r="1453" spans="1:1" ht="20.25" customHeight="1" x14ac:dyDescent="0.2">
      <c r="A1453" s="15"/>
    </row>
    <row r="1454" spans="1:1" ht="20.25" customHeight="1" x14ac:dyDescent="0.2">
      <c r="A1454" s="15"/>
    </row>
    <row r="1455" spans="1:1" ht="20.25" customHeight="1" x14ac:dyDescent="0.2">
      <c r="A1455" s="15"/>
    </row>
    <row r="1456" spans="1:1" ht="20.25" customHeight="1" x14ac:dyDescent="0.2">
      <c r="A1456" s="15"/>
    </row>
    <row r="1457" spans="1:1" ht="20.25" customHeight="1" x14ac:dyDescent="0.2">
      <c r="A1457" s="15"/>
    </row>
    <row r="1458" spans="1:1" ht="20.25" customHeight="1" x14ac:dyDescent="0.2">
      <c r="A1458" s="15"/>
    </row>
    <row r="1459" spans="1:1" ht="20.25" customHeight="1" x14ac:dyDescent="0.2">
      <c r="A1459" s="15"/>
    </row>
    <row r="1460" spans="1:1" ht="20.25" customHeight="1" x14ac:dyDescent="0.2">
      <c r="A1460" s="15"/>
    </row>
    <row r="1461" spans="1:1" ht="20.25" customHeight="1" x14ac:dyDescent="0.2">
      <c r="A1461" s="15"/>
    </row>
    <row r="1462" spans="1:1" ht="20.25" customHeight="1" x14ac:dyDescent="0.2">
      <c r="A1462" s="15"/>
    </row>
    <row r="1463" spans="1:1" ht="20.25" customHeight="1" x14ac:dyDescent="0.2">
      <c r="A1463" s="15"/>
    </row>
    <row r="1464" spans="1:1" ht="20.25" customHeight="1" x14ac:dyDescent="0.2">
      <c r="A1464" s="15"/>
    </row>
    <row r="1465" spans="1:1" ht="20.25" customHeight="1" x14ac:dyDescent="0.2">
      <c r="A1465" s="15"/>
    </row>
    <row r="1466" spans="1:1" ht="20.25" customHeight="1" x14ac:dyDescent="0.2">
      <c r="A1466" s="15"/>
    </row>
    <row r="1467" spans="1:1" ht="20.25" customHeight="1" x14ac:dyDescent="0.2">
      <c r="A1467" s="15"/>
    </row>
    <row r="1468" spans="1:1" ht="20.25" customHeight="1" x14ac:dyDescent="0.2">
      <c r="A1468" s="15"/>
    </row>
    <row r="1469" spans="1:1" ht="20.25" customHeight="1" x14ac:dyDescent="0.2">
      <c r="A1469" s="15"/>
    </row>
    <row r="1470" spans="1:1" ht="20.25" customHeight="1" x14ac:dyDescent="0.2">
      <c r="A1470" s="15"/>
    </row>
    <row r="1471" spans="1:1" ht="20.25" customHeight="1" x14ac:dyDescent="0.2">
      <c r="A1471" s="15"/>
    </row>
    <row r="1472" spans="1:1" ht="20.25" customHeight="1" x14ac:dyDescent="0.2">
      <c r="A1472" s="15"/>
    </row>
    <row r="1473" spans="1:1" ht="20.25" customHeight="1" x14ac:dyDescent="0.2">
      <c r="A1473" s="15"/>
    </row>
    <row r="1474" spans="1:1" ht="20.25" customHeight="1" x14ac:dyDescent="0.2">
      <c r="A1474" s="15"/>
    </row>
    <row r="1475" spans="1:1" ht="20.25" customHeight="1" x14ac:dyDescent="0.2">
      <c r="A1475" s="15"/>
    </row>
    <row r="1476" spans="1:1" ht="20.25" customHeight="1" x14ac:dyDescent="0.2">
      <c r="A1476" s="15"/>
    </row>
    <row r="1477" spans="1:1" ht="20.25" customHeight="1" x14ac:dyDescent="0.2">
      <c r="A1477" s="15"/>
    </row>
    <row r="1478" spans="1:1" ht="20.25" customHeight="1" x14ac:dyDescent="0.2">
      <c r="A1478" s="15"/>
    </row>
    <row r="1479" spans="1:1" ht="20.25" customHeight="1" x14ac:dyDescent="0.2">
      <c r="A1479" s="15"/>
    </row>
    <row r="1480" spans="1:1" ht="20.25" customHeight="1" x14ac:dyDescent="0.2">
      <c r="A1480" s="15"/>
    </row>
    <row r="1481" spans="1:1" ht="20.25" customHeight="1" x14ac:dyDescent="0.2">
      <c r="A1481" s="15"/>
    </row>
    <row r="1482" spans="1:1" ht="20.25" customHeight="1" x14ac:dyDescent="0.2">
      <c r="A1482" s="15"/>
    </row>
    <row r="1483" spans="1:1" ht="20.25" customHeight="1" x14ac:dyDescent="0.2">
      <c r="A1483" s="15"/>
    </row>
    <row r="1484" spans="1:1" ht="20.25" customHeight="1" x14ac:dyDescent="0.2">
      <c r="A1484" s="15"/>
    </row>
    <row r="1485" spans="1:1" ht="20.25" customHeight="1" x14ac:dyDescent="0.2">
      <c r="A1485" s="15"/>
    </row>
    <row r="1486" spans="1:1" ht="20.25" customHeight="1" x14ac:dyDescent="0.2">
      <c r="A1486" s="15"/>
    </row>
    <row r="1487" spans="1:1" ht="20.25" customHeight="1" x14ac:dyDescent="0.2">
      <c r="A1487" s="15"/>
    </row>
    <row r="1488" spans="1:1" ht="20.25" customHeight="1" x14ac:dyDescent="0.2">
      <c r="A1488" s="15"/>
    </row>
    <row r="1489" spans="1:1" ht="20.25" customHeight="1" x14ac:dyDescent="0.2">
      <c r="A1489" s="15"/>
    </row>
    <row r="1490" spans="1:1" ht="20.25" customHeight="1" x14ac:dyDescent="0.2">
      <c r="A1490" s="15"/>
    </row>
    <row r="1491" spans="1:1" ht="20.25" customHeight="1" x14ac:dyDescent="0.2">
      <c r="A1491" s="15"/>
    </row>
    <row r="1492" spans="1:1" ht="20.25" customHeight="1" x14ac:dyDescent="0.2">
      <c r="A1492" s="15"/>
    </row>
    <row r="1493" spans="1:1" ht="20.25" customHeight="1" x14ac:dyDescent="0.2">
      <c r="A1493" s="15"/>
    </row>
    <row r="1494" spans="1:1" ht="20.25" customHeight="1" x14ac:dyDescent="0.2">
      <c r="A1494" s="15"/>
    </row>
    <row r="1495" spans="1:1" ht="20.25" customHeight="1" x14ac:dyDescent="0.2">
      <c r="A1495" s="15"/>
    </row>
    <row r="1496" spans="1:1" ht="20.25" customHeight="1" x14ac:dyDescent="0.2">
      <c r="A1496" s="15"/>
    </row>
    <row r="1497" spans="1:1" ht="20.25" customHeight="1" x14ac:dyDescent="0.2">
      <c r="A1497" s="15"/>
    </row>
    <row r="1498" spans="1:1" ht="20.25" customHeight="1" x14ac:dyDescent="0.2">
      <c r="A1498" s="15"/>
    </row>
    <row r="1499" spans="1:1" ht="20.25" customHeight="1" x14ac:dyDescent="0.2">
      <c r="A1499" s="15"/>
    </row>
    <row r="1500" spans="1:1" ht="20.25" customHeight="1" x14ac:dyDescent="0.2">
      <c r="A1500" s="15"/>
    </row>
    <row r="1501" spans="1:1" ht="20.25" customHeight="1" x14ac:dyDescent="0.2">
      <c r="A1501" s="15"/>
    </row>
    <row r="1502" spans="1:1" ht="20.25" customHeight="1" x14ac:dyDescent="0.2">
      <c r="A1502" s="15"/>
    </row>
    <row r="1503" spans="1:1" ht="20.25" customHeight="1" x14ac:dyDescent="0.2">
      <c r="A1503" s="15"/>
    </row>
    <row r="1504" spans="1:1" ht="20.25" customHeight="1" x14ac:dyDescent="0.2">
      <c r="A1504" s="15"/>
    </row>
    <row r="1505" spans="1:1" ht="20.25" customHeight="1" x14ac:dyDescent="0.2">
      <c r="A1505" s="15"/>
    </row>
    <row r="1506" spans="1:1" ht="20.25" customHeight="1" x14ac:dyDescent="0.2">
      <c r="A1506" s="15"/>
    </row>
    <row r="1507" spans="1:1" ht="20.25" customHeight="1" x14ac:dyDescent="0.2">
      <c r="A1507" s="15"/>
    </row>
    <row r="1508" spans="1:1" ht="20.25" customHeight="1" x14ac:dyDescent="0.2">
      <c r="A1508" s="15"/>
    </row>
    <row r="1509" spans="1:1" ht="20.25" customHeight="1" x14ac:dyDescent="0.2">
      <c r="A1509" s="15"/>
    </row>
    <row r="1510" spans="1:1" ht="20.25" customHeight="1" x14ac:dyDescent="0.2">
      <c r="A1510" s="15"/>
    </row>
    <row r="1511" spans="1:1" ht="20.25" customHeight="1" x14ac:dyDescent="0.2">
      <c r="A1511" s="15"/>
    </row>
    <row r="1512" spans="1:1" ht="20.25" customHeight="1" x14ac:dyDescent="0.2">
      <c r="A1512" s="15"/>
    </row>
    <row r="1513" spans="1:1" ht="20.25" customHeight="1" x14ac:dyDescent="0.2">
      <c r="A1513" s="15"/>
    </row>
    <row r="1514" spans="1:1" ht="20.25" customHeight="1" x14ac:dyDescent="0.2">
      <c r="A1514" s="15"/>
    </row>
    <row r="1515" spans="1:1" ht="20.25" customHeight="1" x14ac:dyDescent="0.2">
      <c r="A1515" s="15"/>
    </row>
    <row r="1516" spans="1:1" ht="20.25" customHeight="1" x14ac:dyDescent="0.2">
      <c r="A1516" s="15"/>
    </row>
    <row r="1517" spans="1:1" ht="20.25" customHeight="1" x14ac:dyDescent="0.2">
      <c r="A1517" s="15"/>
    </row>
    <row r="1518" spans="1:1" ht="20.25" customHeight="1" x14ac:dyDescent="0.2">
      <c r="A1518" s="15"/>
    </row>
    <row r="1519" spans="1:1" ht="20.25" customHeight="1" x14ac:dyDescent="0.2">
      <c r="A1519" s="15"/>
    </row>
    <row r="1520" spans="1:1" ht="20.25" customHeight="1" x14ac:dyDescent="0.2">
      <c r="A1520" s="15"/>
    </row>
    <row r="1521" spans="1:1" ht="20.25" customHeight="1" x14ac:dyDescent="0.2">
      <c r="A1521" s="15"/>
    </row>
    <row r="1522" spans="1:1" ht="20.25" customHeight="1" x14ac:dyDescent="0.2">
      <c r="A1522" s="15"/>
    </row>
    <row r="1523" spans="1:1" ht="20.25" customHeight="1" x14ac:dyDescent="0.2">
      <c r="A1523" s="15"/>
    </row>
    <row r="1524" spans="1:1" ht="20.25" customHeight="1" x14ac:dyDescent="0.2">
      <c r="A1524" s="15"/>
    </row>
    <row r="1525" spans="1:1" ht="20.25" customHeight="1" x14ac:dyDescent="0.2">
      <c r="A1525" s="15"/>
    </row>
    <row r="1526" spans="1:1" ht="20.25" customHeight="1" x14ac:dyDescent="0.2">
      <c r="A1526" s="15"/>
    </row>
    <row r="1527" spans="1:1" ht="20.25" customHeight="1" x14ac:dyDescent="0.2">
      <c r="A1527" s="15"/>
    </row>
    <row r="1528" spans="1:1" ht="20.25" customHeight="1" x14ac:dyDescent="0.2">
      <c r="A1528" s="15"/>
    </row>
    <row r="1529" spans="1:1" ht="20.25" customHeight="1" x14ac:dyDescent="0.2">
      <c r="A1529" s="15"/>
    </row>
    <row r="1530" spans="1:1" ht="20.25" customHeight="1" x14ac:dyDescent="0.2">
      <c r="A1530" s="15"/>
    </row>
    <row r="1531" spans="1:1" ht="20.25" customHeight="1" x14ac:dyDescent="0.2">
      <c r="A1531" s="15"/>
    </row>
    <row r="1532" spans="1:1" ht="20.25" customHeight="1" x14ac:dyDescent="0.2">
      <c r="A1532" s="15"/>
    </row>
    <row r="1533" spans="1:1" ht="20.25" customHeight="1" x14ac:dyDescent="0.2">
      <c r="A1533" s="15"/>
    </row>
    <row r="1534" spans="1:1" ht="20.25" customHeight="1" x14ac:dyDescent="0.2">
      <c r="A1534" s="15"/>
    </row>
    <row r="1535" spans="1:1" ht="20.25" customHeight="1" x14ac:dyDescent="0.2">
      <c r="A1535" s="15"/>
    </row>
    <row r="1536" spans="1:1" ht="20.25" customHeight="1" x14ac:dyDescent="0.2">
      <c r="A1536" s="15"/>
    </row>
    <row r="1537" spans="1:1" ht="20.25" customHeight="1" x14ac:dyDescent="0.2">
      <c r="A1537" s="15"/>
    </row>
    <row r="1538" spans="1:1" ht="20.25" customHeight="1" x14ac:dyDescent="0.2">
      <c r="A1538" s="15"/>
    </row>
    <row r="1539" spans="1:1" ht="20.25" customHeight="1" x14ac:dyDescent="0.2">
      <c r="A1539" s="15"/>
    </row>
    <row r="1540" spans="1:1" ht="20.25" customHeight="1" x14ac:dyDescent="0.2">
      <c r="A1540" s="15"/>
    </row>
    <row r="1541" spans="1:1" ht="20.25" customHeight="1" x14ac:dyDescent="0.2">
      <c r="A1541" s="15"/>
    </row>
    <row r="1542" spans="1:1" ht="20.25" customHeight="1" x14ac:dyDescent="0.2">
      <c r="A1542" s="15"/>
    </row>
    <row r="1543" spans="1:1" ht="20.25" customHeight="1" x14ac:dyDescent="0.2">
      <c r="A1543" s="15"/>
    </row>
    <row r="1544" spans="1:1" ht="20.25" customHeight="1" x14ac:dyDescent="0.2">
      <c r="A1544" s="15"/>
    </row>
    <row r="1545" spans="1:1" ht="20.25" customHeight="1" x14ac:dyDescent="0.2">
      <c r="A1545" s="15"/>
    </row>
    <row r="1546" spans="1:1" ht="20.25" customHeight="1" x14ac:dyDescent="0.2">
      <c r="A1546" s="15"/>
    </row>
    <row r="1547" spans="1:1" ht="20.25" customHeight="1" x14ac:dyDescent="0.2">
      <c r="A1547" s="15"/>
    </row>
    <row r="1548" spans="1:1" ht="20.25" customHeight="1" x14ac:dyDescent="0.2">
      <c r="A1548" s="15"/>
    </row>
    <row r="1549" spans="1:1" ht="20.25" customHeight="1" x14ac:dyDescent="0.2">
      <c r="A1549" s="15"/>
    </row>
    <row r="1550" spans="1:1" ht="20.25" customHeight="1" x14ac:dyDescent="0.2">
      <c r="A1550" s="15"/>
    </row>
    <row r="1551" spans="1:1" ht="20.25" customHeight="1" x14ac:dyDescent="0.2">
      <c r="A1551" s="15"/>
    </row>
    <row r="1552" spans="1:1" ht="20.25" customHeight="1" x14ac:dyDescent="0.2">
      <c r="A1552" s="15"/>
    </row>
    <row r="1553" spans="1:1" ht="20.25" customHeight="1" x14ac:dyDescent="0.2">
      <c r="A1553" s="15"/>
    </row>
    <row r="1554" spans="1:1" ht="20.25" customHeight="1" x14ac:dyDescent="0.2">
      <c r="A1554" s="15"/>
    </row>
    <row r="1555" spans="1:1" ht="20.25" customHeight="1" x14ac:dyDescent="0.2">
      <c r="A1555" s="15"/>
    </row>
    <row r="1556" spans="1:1" ht="20.25" customHeight="1" x14ac:dyDescent="0.2">
      <c r="A1556" s="15"/>
    </row>
    <row r="1557" spans="1:1" ht="20.25" customHeight="1" x14ac:dyDescent="0.2">
      <c r="A1557" s="15"/>
    </row>
    <row r="1558" spans="1:1" ht="20.25" customHeight="1" x14ac:dyDescent="0.2">
      <c r="A1558" s="15"/>
    </row>
    <row r="1559" spans="1:1" ht="20.25" customHeight="1" x14ac:dyDescent="0.2">
      <c r="A1559" s="15"/>
    </row>
    <row r="1560" spans="1:1" ht="20.25" customHeight="1" x14ac:dyDescent="0.2">
      <c r="A1560" s="15"/>
    </row>
    <row r="1561" spans="1:1" ht="20.25" customHeight="1" x14ac:dyDescent="0.2">
      <c r="A1561" s="15"/>
    </row>
    <row r="1562" spans="1:1" ht="20.25" customHeight="1" x14ac:dyDescent="0.2">
      <c r="A1562" s="15"/>
    </row>
    <row r="1563" spans="1:1" ht="20.25" customHeight="1" x14ac:dyDescent="0.2">
      <c r="A1563" s="15"/>
    </row>
    <row r="1564" spans="1:1" ht="20.25" customHeight="1" x14ac:dyDescent="0.2">
      <c r="A1564" s="15"/>
    </row>
    <row r="1565" spans="1:1" ht="20.25" customHeight="1" x14ac:dyDescent="0.2">
      <c r="A1565" s="15"/>
    </row>
    <row r="1566" spans="1:1" ht="20.25" customHeight="1" x14ac:dyDescent="0.2">
      <c r="A1566" s="15"/>
    </row>
    <row r="1567" spans="1:1" ht="20.25" customHeight="1" x14ac:dyDescent="0.2">
      <c r="A1567" s="15"/>
    </row>
    <row r="1568" spans="1:1" ht="20.25" customHeight="1" x14ac:dyDescent="0.2">
      <c r="A1568" s="15"/>
    </row>
    <row r="1569" spans="1:1" ht="20.25" customHeight="1" x14ac:dyDescent="0.2">
      <c r="A1569" s="15"/>
    </row>
    <row r="1570" spans="1:1" ht="20.25" customHeight="1" x14ac:dyDescent="0.2">
      <c r="A1570" s="15"/>
    </row>
    <row r="1571" spans="1:1" ht="20.25" customHeight="1" x14ac:dyDescent="0.2">
      <c r="A1571" s="15"/>
    </row>
    <row r="1572" spans="1:1" ht="20.25" customHeight="1" x14ac:dyDescent="0.2">
      <c r="A1572" s="15"/>
    </row>
    <row r="1573" spans="1:1" ht="20.25" customHeight="1" x14ac:dyDescent="0.2">
      <c r="A1573" s="15"/>
    </row>
    <row r="1574" spans="1:1" ht="20.25" customHeight="1" x14ac:dyDescent="0.2">
      <c r="A1574" s="15"/>
    </row>
    <row r="1575" spans="1:1" ht="20.25" customHeight="1" x14ac:dyDescent="0.2">
      <c r="A1575" s="15"/>
    </row>
    <row r="1576" spans="1:1" ht="20.25" customHeight="1" x14ac:dyDescent="0.2">
      <c r="A1576" s="15"/>
    </row>
    <row r="1577" spans="1:1" ht="20.25" customHeight="1" x14ac:dyDescent="0.2">
      <c r="A1577" s="15"/>
    </row>
    <row r="1578" spans="1:1" ht="20.25" customHeight="1" x14ac:dyDescent="0.2">
      <c r="A1578" s="15"/>
    </row>
    <row r="1579" spans="1:1" ht="20.25" customHeight="1" x14ac:dyDescent="0.2">
      <c r="A1579" s="15"/>
    </row>
    <row r="1580" spans="1:1" ht="20.25" customHeight="1" x14ac:dyDescent="0.2">
      <c r="A1580" s="15"/>
    </row>
    <row r="1581" spans="1:1" ht="20.25" customHeight="1" x14ac:dyDescent="0.2">
      <c r="A1581" s="15"/>
    </row>
    <row r="1582" spans="1:1" ht="20.25" customHeight="1" x14ac:dyDescent="0.2">
      <c r="A1582" s="15"/>
    </row>
    <row r="1583" spans="1:1" ht="20.25" customHeight="1" x14ac:dyDescent="0.2">
      <c r="A1583" s="15"/>
    </row>
    <row r="1584" spans="1:1" ht="20.25" customHeight="1" x14ac:dyDescent="0.2">
      <c r="A1584" s="15"/>
    </row>
    <row r="1585" spans="1:1" ht="20.25" customHeight="1" x14ac:dyDescent="0.2">
      <c r="A1585" s="15"/>
    </row>
    <row r="1586" spans="1:1" ht="20.25" customHeight="1" x14ac:dyDescent="0.2">
      <c r="A1586" s="15"/>
    </row>
    <row r="1587" spans="1:1" ht="20.25" customHeight="1" x14ac:dyDescent="0.2">
      <c r="A1587" s="15"/>
    </row>
    <row r="1588" spans="1:1" ht="20.25" customHeight="1" x14ac:dyDescent="0.2">
      <c r="A1588" s="15"/>
    </row>
    <row r="1589" spans="1:1" ht="20.25" customHeight="1" x14ac:dyDescent="0.2">
      <c r="A1589" s="15"/>
    </row>
    <row r="1590" spans="1:1" ht="20.25" customHeight="1" x14ac:dyDescent="0.2">
      <c r="A1590" s="15"/>
    </row>
    <row r="1591" spans="1:1" ht="20.25" customHeight="1" x14ac:dyDescent="0.2">
      <c r="A1591" s="15"/>
    </row>
    <row r="1592" spans="1:1" ht="20.25" customHeight="1" x14ac:dyDescent="0.2">
      <c r="A1592" s="15"/>
    </row>
    <row r="1593" spans="1:1" ht="20.25" customHeight="1" x14ac:dyDescent="0.2">
      <c r="A1593" s="15"/>
    </row>
    <row r="1594" spans="1:1" ht="20.25" customHeight="1" x14ac:dyDescent="0.2">
      <c r="A1594" s="15"/>
    </row>
    <row r="1595" spans="1:1" ht="20.25" customHeight="1" x14ac:dyDescent="0.2">
      <c r="A1595" s="15"/>
    </row>
    <row r="1596" spans="1:1" ht="20.25" customHeight="1" x14ac:dyDescent="0.2">
      <c r="A1596" s="15"/>
    </row>
    <row r="1597" spans="1:1" ht="20.25" customHeight="1" x14ac:dyDescent="0.2">
      <c r="A1597" s="15"/>
    </row>
    <row r="1598" spans="1:1" ht="20.25" customHeight="1" x14ac:dyDescent="0.2">
      <c r="A1598" s="15"/>
    </row>
    <row r="1599" spans="1:1" ht="20.25" customHeight="1" x14ac:dyDescent="0.2">
      <c r="A1599" s="15"/>
    </row>
    <row r="1600" spans="1:1" ht="20.25" customHeight="1" x14ac:dyDescent="0.2">
      <c r="A1600" s="15"/>
    </row>
    <row r="1601" spans="1:1" ht="20.25" customHeight="1" x14ac:dyDescent="0.2">
      <c r="A1601" s="15"/>
    </row>
    <row r="1602" spans="1:1" ht="20.25" customHeight="1" x14ac:dyDescent="0.2">
      <c r="A1602" s="15"/>
    </row>
    <row r="1603" spans="1:1" ht="20.25" customHeight="1" x14ac:dyDescent="0.2">
      <c r="A1603" s="15"/>
    </row>
    <row r="1604" spans="1:1" ht="20.25" customHeight="1" x14ac:dyDescent="0.2">
      <c r="A1604" s="15"/>
    </row>
    <row r="1605" spans="1:1" ht="20.25" customHeight="1" x14ac:dyDescent="0.2">
      <c r="A1605" s="15"/>
    </row>
    <row r="1606" spans="1:1" ht="20.25" customHeight="1" x14ac:dyDescent="0.2">
      <c r="A1606" s="15"/>
    </row>
    <row r="1607" spans="1:1" ht="20.25" customHeight="1" x14ac:dyDescent="0.2">
      <c r="A1607" s="15"/>
    </row>
    <row r="1608" spans="1:1" ht="20.25" customHeight="1" x14ac:dyDescent="0.2">
      <c r="A1608" s="15"/>
    </row>
    <row r="1609" spans="1:1" ht="20.25" customHeight="1" x14ac:dyDescent="0.2">
      <c r="A1609" s="15"/>
    </row>
    <row r="1610" spans="1:1" ht="20.25" customHeight="1" x14ac:dyDescent="0.2">
      <c r="A1610" s="15"/>
    </row>
    <row r="1611" spans="1:1" ht="20.25" customHeight="1" x14ac:dyDescent="0.2">
      <c r="A1611" s="15"/>
    </row>
    <row r="1612" spans="1:1" ht="20.25" customHeight="1" x14ac:dyDescent="0.2">
      <c r="A1612" s="15"/>
    </row>
    <row r="1613" spans="1:1" ht="20.25" customHeight="1" x14ac:dyDescent="0.2">
      <c r="A1613" s="15"/>
    </row>
    <row r="1614" spans="1:1" ht="20.25" customHeight="1" x14ac:dyDescent="0.2">
      <c r="A1614" s="15"/>
    </row>
    <row r="1615" spans="1:1" ht="20.25" customHeight="1" x14ac:dyDescent="0.2">
      <c r="A1615" s="15"/>
    </row>
    <row r="1616" spans="1:1" ht="20.25" customHeight="1" x14ac:dyDescent="0.2">
      <c r="A1616" s="15"/>
    </row>
    <row r="1617" spans="1:1" ht="20.25" customHeight="1" x14ac:dyDescent="0.2">
      <c r="A1617" s="15"/>
    </row>
    <row r="1618" spans="1:1" ht="20.25" customHeight="1" x14ac:dyDescent="0.2">
      <c r="A1618" s="15"/>
    </row>
    <row r="1619" spans="1:1" ht="20.25" customHeight="1" x14ac:dyDescent="0.2">
      <c r="A1619" s="15"/>
    </row>
    <row r="1620" spans="1:1" ht="20.25" customHeight="1" x14ac:dyDescent="0.2">
      <c r="A1620" s="15"/>
    </row>
    <row r="1621" spans="1:1" ht="20.25" customHeight="1" x14ac:dyDescent="0.2">
      <c r="A1621" s="15"/>
    </row>
    <row r="1622" spans="1:1" ht="20.25" customHeight="1" x14ac:dyDescent="0.2">
      <c r="A1622" s="15"/>
    </row>
    <row r="1623" spans="1:1" ht="20.25" customHeight="1" x14ac:dyDescent="0.2">
      <c r="A1623" s="15"/>
    </row>
    <row r="1624" spans="1:1" ht="20.25" customHeight="1" x14ac:dyDescent="0.2">
      <c r="A1624" s="15"/>
    </row>
    <row r="1625" spans="1:1" ht="20.25" customHeight="1" x14ac:dyDescent="0.2">
      <c r="A1625" s="15"/>
    </row>
    <row r="1626" spans="1:1" ht="20.25" customHeight="1" x14ac:dyDescent="0.2">
      <c r="A1626" s="15"/>
    </row>
    <row r="1627" spans="1:1" ht="20.25" customHeight="1" x14ac:dyDescent="0.2">
      <c r="A1627" s="15"/>
    </row>
    <row r="1628" spans="1:1" ht="20.25" customHeight="1" x14ac:dyDescent="0.2">
      <c r="A1628" s="15"/>
    </row>
    <row r="1629" spans="1:1" ht="20.25" customHeight="1" x14ac:dyDescent="0.2">
      <c r="A1629" s="15"/>
    </row>
    <row r="1630" spans="1:1" ht="20.25" customHeight="1" x14ac:dyDescent="0.2">
      <c r="A1630" s="15"/>
    </row>
    <row r="1631" spans="1:1" ht="20.25" customHeight="1" x14ac:dyDescent="0.2">
      <c r="A1631" s="15"/>
    </row>
    <row r="1632" spans="1:1" ht="20.25" customHeight="1" x14ac:dyDescent="0.2">
      <c r="A1632" s="15"/>
    </row>
    <row r="1633" spans="1:1" ht="20.25" customHeight="1" x14ac:dyDescent="0.2">
      <c r="A1633" s="15"/>
    </row>
    <row r="1634" spans="1:1" ht="20.25" customHeight="1" x14ac:dyDescent="0.2">
      <c r="A1634" s="15"/>
    </row>
    <row r="1635" spans="1:1" ht="20.25" customHeight="1" x14ac:dyDescent="0.2">
      <c r="A1635" s="15"/>
    </row>
    <row r="1636" spans="1:1" ht="20.25" customHeight="1" x14ac:dyDescent="0.2">
      <c r="A1636" s="15"/>
    </row>
    <row r="1637" spans="1:1" ht="20.25" customHeight="1" x14ac:dyDescent="0.2">
      <c r="A1637" s="15"/>
    </row>
    <row r="1638" spans="1:1" ht="20.25" customHeight="1" x14ac:dyDescent="0.2">
      <c r="A1638" s="15"/>
    </row>
    <row r="1639" spans="1:1" ht="20.25" customHeight="1" x14ac:dyDescent="0.2">
      <c r="A1639" s="15"/>
    </row>
    <row r="1640" spans="1:1" ht="20.25" customHeight="1" x14ac:dyDescent="0.2">
      <c r="A1640" s="15"/>
    </row>
    <row r="1641" spans="1:1" ht="20.25" customHeight="1" x14ac:dyDescent="0.2">
      <c r="A1641" s="15"/>
    </row>
    <row r="1642" spans="1:1" ht="20.25" customHeight="1" x14ac:dyDescent="0.2">
      <c r="A1642" s="15"/>
    </row>
    <row r="1643" spans="1:1" ht="20.25" customHeight="1" x14ac:dyDescent="0.2">
      <c r="A1643" s="15"/>
    </row>
    <row r="1644" spans="1:1" ht="20.25" customHeight="1" x14ac:dyDescent="0.2">
      <c r="A1644" s="15"/>
    </row>
    <row r="1645" spans="1:1" ht="20.25" customHeight="1" x14ac:dyDescent="0.2">
      <c r="A1645" s="15"/>
    </row>
    <row r="1646" spans="1:1" ht="20.25" customHeight="1" x14ac:dyDescent="0.2">
      <c r="A1646" s="15"/>
    </row>
    <row r="1647" spans="1:1" ht="20.25" customHeight="1" x14ac:dyDescent="0.2">
      <c r="A1647" s="15"/>
    </row>
    <row r="1648" spans="1:1" ht="20.25" customHeight="1" x14ac:dyDescent="0.2">
      <c r="A1648" s="15"/>
    </row>
    <row r="1649" spans="1:1" ht="20.25" customHeight="1" x14ac:dyDescent="0.2">
      <c r="A1649" s="15"/>
    </row>
    <row r="1650" spans="1:1" ht="20.25" customHeight="1" x14ac:dyDescent="0.2">
      <c r="A1650" s="15"/>
    </row>
    <row r="1651" spans="1:1" ht="20.25" customHeight="1" x14ac:dyDescent="0.2">
      <c r="A1651" s="15"/>
    </row>
    <row r="1652" spans="1:1" ht="20.25" customHeight="1" x14ac:dyDescent="0.2">
      <c r="A1652" s="15"/>
    </row>
    <row r="1653" spans="1:1" ht="20.25" customHeight="1" x14ac:dyDescent="0.2">
      <c r="A1653" s="15"/>
    </row>
    <row r="1654" spans="1:1" ht="20.25" customHeight="1" x14ac:dyDescent="0.2">
      <c r="A1654" s="15"/>
    </row>
    <row r="1655" spans="1:1" ht="20.25" customHeight="1" x14ac:dyDescent="0.2">
      <c r="A1655" s="15"/>
    </row>
    <row r="1656" spans="1:1" ht="20.25" customHeight="1" x14ac:dyDescent="0.2">
      <c r="A1656" s="15"/>
    </row>
    <row r="1657" spans="1:1" ht="20.25" customHeight="1" x14ac:dyDescent="0.2">
      <c r="A1657" s="15"/>
    </row>
    <row r="1658" spans="1:1" ht="20.25" customHeight="1" x14ac:dyDescent="0.2">
      <c r="A1658" s="15"/>
    </row>
    <row r="1659" spans="1:1" ht="20.25" customHeight="1" x14ac:dyDescent="0.2">
      <c r="A1659" s="15"/>
    </row>
    <row r="1660" spans="1:1" ht="20.25" customHeight="1" x14ac:dyDescent="0.2">
      <c r="A1660" s="15"/>
    </row>
    <row r="1661" spans="1:1" ht="20.25" customHeight="1" x14ac:dyDescent="0.2">
      <c r="A1661" s="15"/>
    </row>
    <row r="1662" spans="1:1" ht="20.25" customHeight="1" x14ac:dyDescent="0.2">
      <c r="A1662" s="15"/>
    </row>
    <row r="1663" spans="1:1" ht="20.25" customHeight="1" x14ac:dyDescent="0.2">
      <c r="A1663" s="15"/>
    </row>
    <row r="1664" spans="1:1" ht="20.25" customHeight="1" x14ac:dyDescent="0.2">
      <c r="A1664" s="15"/>
    </row>
    <row r="1665" spans="1:1" ht="20.25" customHeight="1" x14ac:dyDescent="0.2">
      <c r="A1665" s="15"/>
    </row>
    <row r="1666" spans="1:1" ht="20.25" customHeight="1" x14ac:dyDescent="0.2">
      <c r="A1666" s="15"/>
    </row>
    <row r="1667" spans="1:1" ht="20.25" customHeight="1" x14ac:dyDescent="0.2">
      <c r="A1667" s="15"/>
    </row>
    <row r="1668" spans="1:1" ht="20.25" customHeight="1" x14ac:dyDescent="0.2">
      <c r="A1668" s="15"/>
    </row>
    <row r="1669" spans="1:1" ht="20.25" customHeight="1" x14ac:dyDescent="0.2">
      <c r="A1669" s="15"/>
    </row>
    <row r="1670" spans="1:1" ht="20.25" customHeight="1" x14ac:dyDescent="0.2">
      <c r="A1670" s="15"/>
    </row>
    <row r="1671" spans="1:1" ht="20.25" customHeight="1" x14ac:dyDescent="0.2">
      <c r="A1671" s="15"/>
    </row>
    <row r="1672" spans="1:1" ht="20.25" customHeight="1" x14ac:dyDescent="0.2">
      <c r="A1672" s="15"/>
    </row>
    <row r="1673" spans="1:1" ht="20.25" customHeight="1" x14ac:dyDescent="0.2">
      <c r="A1673" s="15"/>
    </row>
    <row r="1674" spans="1:1" ht="20.25" customHeight="1" x14ac:dyDescent="0.2">
      <c r="A1674" s="15"/>
    </row>
    <row r="1675" spans="1:1" ht="20.25" customHeight="1" x14ac:dyDescent="0.2">
      <c r="A1675" s="15"/>
    </row>
    <row r="1676" spans="1:1" ht="20.25" customHeight="1" x14ac:dyDescent="0.2">
      <c r="A1676" s="15"/>
    </row>
    <row r="1677" spans="1:1" ht="20.25" customHeight="1" x14ac:dyDescent="0.2">
      <c r="A1677" s="15"/>
    </row>
    <row r="1678" spans="1:1" ht="20.25" customHeight="1" x14ac:dyDescent="0.2">
      <c r="A1678" s="15"/>
    </row>
    <row r="1679" spans="1:1" ht="20.25" customHeight="1" x14ac:dyDescent="0.2">
      <c r="A1679" s="15"/>
    </row>
    <row r="1680" spans="1:1" ht="20.25" customHeight="1" x14ac:dyDescent="0.2">
      <c r="A1680" s="15"/>
    </row>
    <row r="1681" spans="1:1" ht="20.25" customHeight="1" x14ac:dyDescent="0.2">
      <c r="A1681" s="15"/>
    </row>
    <row r="1682" spans="1:1" ht="20.25" customHeight="1" x14ac:dyDescent="0.2">
      <c r="A1682" s="15"/>
    </row>
    <row r="1683" spans="1:1" ht="20.25" customHeight="1" x14ac:dyDescent="0.2">
      <c r="A1683" s="15"/>
    </row>
    <row r="1684" spans="1:1" ht="20.25" customHeight="1" x14ac:dyDescent="0.2">
      <c r="A1684" s="15"/>
    </row>
    <row r="1685" spans="1:1" ht="20.25" customHeight="1" x14ac:dyDescent="0.2">
      <c r="A1685" s="15"/>
    </row>
    <row r="1686" spans="1:1" ht="20.25" customHeight="1" x14ac:dyDescent="0.2">
      <c r="A1686" s="15"/>
    </row>
    <row r="1687" spans="1:1" ht="20.25" customHeight="1" x14ac:dyDescent="0.2">
      <c r="A1687" s="15"/>
    </row>
    <row r="1688" spans="1:1" ht="20.25" customHeight="1" x14ac:dyDescent="0.2">
      <c r="A1688" s="15"/>
    </row>
    <row r="1689" spans="1:1" ht="20.25" customHeight="1" x14ac:dyDescent="0.2">
      <c r="A1689" s="15"/>
    </row>
    <row r="1690" spans="1:1" ht="20.25" customHeight="1" x14ac:dyDescent="0.2">
      <c r="A1690" s="15"/>
    </row>
    <row r="1691" spans="1:1" ht="20.25" customHeight="1" x14ac:dyDescent="0.2">
      <c r="A1691" s="15"/>
    </row>
    <row r="1692" spans="1:1" ht="20.25" customHeight="1" x14ac:dyDescent="0.2">
      <c r="A1692" s="15"/>
    </row>
    <row r="1693" spans="1:1" ht="20.25" customHeight="1" x14ac:dyDescent="0.2">
      <c r="A1693" s="15"/>
    </row>
    <row r="1694" spans="1:1" ht="20.25" customHeight="1" x14ac:dyDescent="0.2">
      <c r="A1694" s="15"/>
    </row>
    <row r="1695" spans="1:1" ht="20.25" customHeight="1" x14ac:dyDescent="0.2">
      <c r="A1695" s="15"/>
    </row>
    <row r="1696" spans="1:1" ht="20.25" customHeight="1" x14ac:dyDescent="0.2">
      <c r="A1696" s="15"/>
    </row>
    <row r="1697" spans="1:1" ht="20.25" customHeight="1" x14ac:dyDescent="0.2">
      <c r="A1697" s="15"/>
    </row>
    <row r="1698" spans="1:1" ht="20.25" customHeight="1" x14ac:dyDescent="0.2">
      <c r="A1698" s="15"/>
    </row>
    <row r="1699" spans="1:1" ht="20.25" customHeight="1" x14ac:dyDescent="0.2">
      <c r="A1699" s="15"/>
    </row>
    <row r="1700" spans="1:1" ht="20.25" customHeight="1" x14ac:dyDescent="0.2">
      <c r="A1700" s="15"/>
    </row>
    <row r="1701" spans="1:1" ht="20.25" customHeight="1" x14ac:dyDescent="0.2">
      <c r="A1701" s="15"/>
    </row>
    <row r="1702" spans="1:1" ht="20.25" customHeight="1" x14ac:dyDescent="0.2">
      <c r="A1702" s="15"/>
    </row>
    <row r="1703" spans="1:1" ht="20.25" customHeight="1" x14ac:dyDescent="0.2">
      <c r="A1703" s="15"/>
    </row>
    <row r="1704" spans="1:1" ht="20.25" customHeight="1" x14ac:dyDescent="0.2">
      <c r="A1704" s="15"/>
    </row>
    <row r="1705" spans="1:1" ht="20.25" customHeight="1" x14ac:dyDescent="0.2">
      <c r="A1705" s="15"/>
    </row>
    <row r="1706" spans="1:1" ht="20.25" customHeight="1" x14ac:dyDescent="0.2">
      <c r="A1706" s="15"/>
    </row>
    <row r="1707" spans="1:1" ht="20.25" customHeight="1" x14ac:dyDescent="0.2">
      <c r="A1707" s="15"/>
    </row>
    <row r="1708" spans="1:1" ht="20.25" customHeight="1" x14ac:dyDescent="0.2">
      <c r="A1708" s="15"/>
    </row>
    <row r="1709" spans="1:1" ht="20.25" customHeight="1" x14ac:dyDescent="0.2">
      <c r="A1709" s="15"/>
    </row>
    <row r="1710" spans="1:1" ht="20.25" customHeight="1" x14ac:dyDescent="0.2">
      <c r="A1710" s="15"/>
    </row>
    <row r="1711" spans="1:1" ht="20.25" customHeight="1" x14ac:dyDescent="0.2">
      <c r="A1711" s="15"/>
    </row>
    <row r="1712" spans="1:1" ht="20.25" customHeight="1" x14ac:dyDescent="0.2">
      <c r="A1712" s="15"/>
    </row>
    <row r="1713" spans="1:1" ht="20.25" customHeight="1" x14ac:dyDescent="0.2">
      <c r="A1713" s="15"/>
    </row>
    <row r="1714" spans="1:1" ht="20.25" customHeight="1" x14ac:dyDescent="0.2">
      <c r="A1714" s="15"/>
    </row>
    <row r="1715" spans="1:1" ht="20.25" customHeight="1" x14ac:dyDescent="0.2">
      <c r="A1715" s="15"/>
    </row>
    <row r="1716" spans="1:1" ht="20.25" customHeight="1" x14ac:dyDescent="0.2">
      <c r="A1716" s="15"/>
    </row>
    <row r="1717" spans="1:1" ht="20.25" customHeight="1" x14ac:dyDescent="0.2">
      <c r="A1717" s="15"/>
    </row>
    <row r="1718" spans="1:1" ht="20.25" customHeight="1" x14ac:dyDescent="0.2">
      <c r="A1718" s="15"/>
    </row>
    <row r="1719" spans="1:1" ht="20.25" customHeight="1" x14ac:dyDescent="0.2">
      <c r="A1719" s="15"/>
    </row>
    <row r="1720" spans="1:1" ht="20.25" customHeight="1" x14ac:dyDescent="0.2">
      <c r="A1720" s="15"/>
    </row>
    <row r="1721" spans="1:1" ht="20.25" customHeight="1" x14ac:dyDescent="0.2">
      <c r="A1721" s="15"/>
    </row>
    <row r="1722" spans="1:1" ht="20.25" customHeight="1" x14ac:dyDescent="0.2">
      <c r="A1722" s="15"/>
    </row>
    <row r="1723" spans="1:1" ht="20.25" customHeight="1" x14ac:dyDescent="0.2">
      <c r="A1723" s="15"/>
    </row>
    <row r="1724" spans="1:1" ht="20.25" customHeight="1" x14ac:dyDescent="0.2">
      <c r="A1724" s="15"/>
    </row>
    <row r="1725" spans="1:1" ht="20.25" customHeight="1" x14ac:dyDescent="0.2">
      <c r="A1725" s="15"/>
    </row>
    <row r="1726" spans="1:1" ht="20.25" customHeight="1" x14ac:dyDescent="0.2">
      <c r="A1726" s="15"/>
    </row>
    <row r="1727" spans="1:1" ht="20.25" customHeight="1" x14ac:dyDescent="0.2">
      <c r="A1727" s="15"/>
    </row>
    <row r="1728" spans="1:1" ht="20.25" customHeight="1" x14ac:dyDescent="0.2">
      <c r="A1728" s="15"/>
    </row>
    <row r="1729" spans="1:1" ht="20.25" customHeight="1" x14ac:dyDescent="0.2">
      <c r="A1729" s="15"/>
    </row>
    <row r="1730" spans="1:1" ht="20.25" customHeight="1" x14ac:dyDescent="0.2">
      <c r="A1730" s="15"/>
    </row>
    <row r="1731" spans="1:1" ht="20.25" customHeight="1" x14ac:dyDescent="0.2">
      <c r="A1731" s="15"/>
    </row>
    <row r="1732" spans="1:1" ht="20.25" customHeight="1" x14ac:dyDescent="0.2">
      <c r="A1732" s="15"/>
    </row>
    <row r="1733" spans="1:1" ht="20.25" customHeight="1" x14ac:dyDescent="0.2">
      <c r="A1733" s="15"/>
    </row>
    <row r="1734" spans="1:1" ht="20.25" customHeight="1" x14ac:dyDescent="0.2">
      <c r="A1734" s="15"/>
    </row>
    <row r="1735" spans="1:1" ht="20.25" customHeight="1" x14ac:dyDescent="0.2">
      <c r="A1735" s="15"/>
    </row>
    <row r="1736" spans="1:1" ht="20.25" customHeight="1" x14ac:dyDescent="0.2">
      <c r="A1736" s="15"/>
    </row>
    <row r="1737" spans="1:1" ht="20.25" customHeight="1" x14ac:dyDescent="0.2">
      <c r="A1737" s="15"/>
    </row>
    <row r="1738" spans="1:1" ht="20.25" customHeight="1" x14ac:dyDescent="0.2">
      <c r="A1738" s="15"/>
    </row>
    <row r="1739" spans="1:1" ht="20.25" customHeight="1" x14ac:dyDescent="0.2">
      <c r="A1739" s="15"/>
    </row>
    <row r="1740" spans="1:1" ht="20.25" customHeight="1" x14ac:dyDescent="0.2">
      <c r="A1740" s="15"/>
    </row>
    <row r="1741" spans="1:1" ht="20.25" customHeight="1" x14ac:dyDescent="0.2">
      <c r="A1741" s="15"/>
    </row>
    <row r="1742" spans="1:1" ht="20.25" customHeight="1" x14ac:dyDescent="0.2">
      <c r="A1742" s="15"/>
    </row>
    <row r="1743" spans="1:1" ht="20.25" customHeight="1" x14ac:dyDescent="0.2">
      <c r="A1743" s="15"/>
    </row>
    <row r="1744" spans="1:1" ht="20.25" customHeight="1" x14ac:dyDescent="0.2">
      <c r="A1744" s="15"/>
    </row>
    <row r="1745" spans="1:1" ht="20.25" customHeight="1" x14ac:dyDescent="0.2">
      <c r="A1745" s="15"/>
    </row>
    <row r="1746" spans="1:1" ht="20.25" customHeight="1" x14ac:dyDescent="0.2">
      <c r="A1746" s="15"/>
    </row>
    <row r="1747" spans="1:1" ht="20.25" customHeight="1" x14ac:dyDescent="0.2">
      <c r="A1747" s="15"/>
    </row>
    <row r="1748" spans="1:1" ht="20.25" customHeight="1" x14ac:dyDescent="0.2">
      <c r="A1748" s="15"/>
    </row>
    <row r="1749" spans="1:1" ht="20.25" customHeight="1" x14ac:dyDescent="0.2">
      <c r="A1749" s="15"/>
    </row>
    <row r="1750" spans="1:1" ht="20.25" customHeight="1" x14ac:dyDescent="0.2">
      <c r="A1750" s="15"/>
    </row>
    <row r="1751" spans="1:1" ht="20.25" customHeight="1" x14ac:dyDescent="0.2">
      <c r="A1751" s="15"/>
    </row>
    <row r="1752" spans="1:1" ht="20.25" customHeight="1" x14ac:dyDescent="0.2">
      <c r="A1752" s="15"/>
    </row>
    <row r="1753" spans="1:1" ht="20.25" customHeight="1" x14ac:dyDescent="0.2">
      <c r="A1753" s="15"/>
    </row>
    <row r="1754" spans="1:1" ht="20.25" customHeight="1" x14ac:dyDescent="0.2">
      <c r="A1754" s="15"/>
    </row>
    <row r="1755" spans="1:1" ht="20.25" customHeight="1" x14ac:dyDescent="0.2">
      <c r="A1755" s="15"/>
    </row>
    <row r="1756" spans="1:1" ht="20.25" customHeight="1" x14ac:dyDescent="0.2">
      <c r="A1756" s="15"/>
    </row>
    <row r="1757" spans="1:1" ht="20.25" customHeight="1" x14ac:dyDescent="0.2">
      <c r="A1757" s="15"/>
    </row>
    <row r="1758" spans="1:1" ht="20.25" customHeight="1" x14ac:dyDescent="0.2">
      <c r="A1758" s="15"/>
    </row>
    <row r="1759" spans="1:1" ht="20.25" customHeight="1" x14ac:dyDescent="0.2">
      <c r="A1759" s="15"/>
    </row>
    <row r="1760" spans="1:1" ht="20.25" customHeight="1" x14ac:dyDescent="0.2">
      <c r="A1760" s="15"/>
    </row>
    <row r="1761" spans="1:1" ht="20.25" customHeight="1" x14ac:dyDescent="0.2">
      <c r="A1761" s="15"/>
    </row>
    <row r="1762" spans="1:1" ht="20.25" customHeight="1" x14ac:dyDescent="0.2">
      <c r="A1762" s="15"/>
    </row>
    <row r="1763" spans="1:1" ht="20.25" customHeight="1" x14ac:dyDescent="0.2">
      <c r="A1763" s="15"/>
    </row>
    <row r="1764" spans="1:1" ht="20.25" customHeight="1" x14ac:dyDescent="0.2">
      <c r="A1764" s="15"/>
    </row>
    <row r="1765" spans="1:1" ht="20.25" customHeight="1" x14ac:dyDescent="0.2">
      <c r="A1765" s="15"/>
    </row>
    <row r="1766" spans="1:1" ht="20.25" customHeight="1" x14ac:dyDescent="0.2">
      <c r="A1766" s="15"/>
    </row>
    <row r="1767" spans="1:1" ht="20.25" customHeight="1" x14ac:dyDescent="0.2">
      <c r="A1767" s="15"/>
    </row>
    <row r="1768" spans="1:1" ht="20.25" customHeight="1" x14ac:dyDescent="0.2">
      <c r="A1768" s="15"/>
    </row>
    <row r="1769" spans="1:1" ht="20.25" customHeight="1" x14ac:dyDescent="0.2">
      <c r="A1769" s="15"/>
    </row>
    <row r="1770" spans="1:1" ht="20.25" customHeight="1" x14ac:dyDescent="0.2">
      <c r="A1770" s="15"/>
    </row>
    <row r="1771" spans="1:1" ht="20.25" customHeight="1" x14ac:dyDescent="0.2">
      <c r="A1771" s="15"/>
    </row>
    <row r="1772" spans="1:1" ht="20.25" customHeight="1" x14ac:dyDescent="0.2">
      <c r="A1772" s="15"/>
    </row>
    <row r="1773" spans="1:1" ht="20.25" customHeight="1" x14ac:dyDescent="0.2">
      <c r="A1773" s="15"/>
    </row>
    <row r="1774" spans="1:1" ht="20.25" customHeight="1" x14ac:dyDescent="0.2">
      <c r="A1774" s="15"/>
    </row>
    <row r="1775" spans="1:1" ht="20.25" customHeight="1" x14ac:dyDescent="0.2">
      <c r="A1775" s="15"/>
    </row>
    <row r="1776" spans="1:1" ht="20.25" customHeight="1" x14ac:dyDescent="0.2">
      <c r="A1776" s="15"/>
    </row>
    <row r="1777" spans="1:1" ht="20.25" customHeight="1" x14ac:dyDescent="0.2">
      <c r="A1777" s="15"/>
    </row>
    <row r="1778" spans="1:1" ht="20.25" customHeight="1" x14ac:dyDescent="0.2">
      <c r="A1778" s="15"/>
    </row>
    <row r="1779" spans="1:1" ht="20.25" customHeight="1" x14ac:dyDescent="0.2">
      <c r="A1779" s="15"/>
    </row>
    <row r="1780" spans="1:1" ht="20.25" customHeight="1" x14ac:dyDescent="0.2">
      <c r="A1780" s="15"/>
    </row>
    <row r="1781" spans="1:1" ht="20.25" customHeight="1" x14ac:dyDescent="0.2">
      <c r="A1781" s="15"/>
    </row>
    <row r="1782" spans="1:1" ht="20.25" customHeight="1" x14ac:dyDescent="0.2">
      <c r="A1782" s="15"/>
    </row>
    <row r="1783" spans="1:1" ht="20.25" customHeight="1" x14ac:dyDescent="0.2">
      <c r="A1783" s="15"/>
    </row>
    <row r="1784" spans="1:1" ht="20.25" customHeight="1" x14ac:dyDescent="0.2">
      <c r="A1784" s="15"/>
    </row>
    <row r="1785" spans="1:1" ht="20.25" customHeight="1" x14ac:dyDescent="0.2">
      <c r="A1785" s="15"/>
    </row>
    <row r="1786" spans="1:1" ht="20.25" customHeight="1" x14ac:dyDescent="0.2">
      <c r="A1786" s="15"/>
    </row>
    <row r="1787" spans="1:1" ht="20.25" customHeight="1" x14ac:dyDescent="0.2">
      <c r="A1787" s="15"/>
    </row>
    <row r="1788" spans="1:1" ht="20.25" customHeight="1" x14ac:dyDescent="0.2">
      <c r="A1788" s="15"/>
    </row>
    <row r="1789" spans="1:1" ht="20.25" customHeight="1" x14ac:dyDescent="0.2">
      <c r="A1789" s="15"/>
    </row>
    <row r="1790" spans="1:1" ht="20.25" customHeight="1" x14ac:dyDescent="0.2">
      <c r="A1790" s="15"/>
    </row>
    <row r="1791" spans="1:1" ht="20.25" customHeight="1" x14ac:dyDescent="0.2">
      <c r="A1791" s="15"/>
    </row>
    <row r="1792" spans="1:1" ht="20.25" customHeight="1" x14ac:dyDescent="0.2">
      <c r="A1792" s="15"/>
    </row>
    <row r="1793" spans="1:1" ht="20.25" customHeight="1" x14ac:dyDescent="0.2">
      <c r="A1793" s="15"/>
    </row>
    <row r="1794" spans="1:1" ht="20.25" customHeight="1" x14ac:dyDescent="0.2">
      <c r="A1794" s="15"/>
    </row>
    <row r="1795" spans="1:1" ht="20.25" customHeight="1" x14ac:dyDescent="0.2">
      <c r="A1795" s="15"/>
    </row>
    <row r="1796" spans="1:1" ht="20.25" customHeight="1" x14ac:dyDescent="0.2">
      <c r="A1796" s="15"/>
    </row>
    <row r="1797" spans="1:1" ht="20.25" customHeight="1" x14ac:dyDescent="0.2">
      <c r="A1797" s="15"/>
    </row>
    <row r="1798" spans="1:1" ht="20.25" customHeight="1" x14ac:dyDescent="0.2">
      <c r="A1798" s="15"/>
    </row>
    <row r="1799" spans="1:1" ht="20.25" customHeight="1" x14ac:dyDescent="0.2">
      <c r="A1799" s="15"/>
    </row>
    <row r="1800" spans="1:1" ht="20.25" customHeight="1" x14ac:dyDescent="0.2">
      <c r="A1800" s="15"/>
    </row>
    <row r="1801" spans="1:1" ht="20.25" customHeight="1" x14ac:dyDescent="0.2">
      <c r="A1801" s="15"/>
    </row>
    <row r="1802" spans="1:1" ht="20.25" customHeight="1" x14ac:dyDescent="0.2">
      <c r="A1802" s="15"/>
    </row>
    <row r="1803" spans="1:1" ht="20.25" customHeight="1" x14ac:dyDescent="0.2">
      <c r="A1803" s="15"/>
    </row>
    <row r="1804" spans="1:1" ht="20.25" customHeight="1" x14ac:dyDescent="0.2">
      <c r="A1804" s="15"/>
    </row>
    <row r="1805" spans="1:1" ht="20.25" customHeight="1" x14ac:dyDescent="0.2">
      <c r="A1805" s="15"/>
    </row>
    <row r="1806" spans="1:1" ht="20.25" customHeight="1" x14ac:dyDescent="0.2">
      <c r="A1806" s="15"/>
    </row>
    <row r="1807" spans="1:1" ht="20.25" customHeight="1" x14ac:dyDescent="0.2">
      <c r="A1807" s="15"/>
    </row>
    <row r="1808" spans="1:1" ht="20.25" customHeight="1" x14ac:dyDescent="0.2">
      <c r="A1808" s="15"/>
    </row>
    <row r="1809" spans="1:1" ht="20.25" customHeight="1" x14ac:dyDescent="0.2">
      <c r="A1809" s="15"/>
    </row>
    <row r="1810" spans="1:1" ht="20.25" customHeight="1" x14ac:dyDescent="0.2">
      <c r="A1810" s="15"/>
    </row>
    <row r="1811" spans="1:1" ht="20.25" customHeight="1" x14ac:dyDescent="0.2">
      <c r="A1811" s="15"/>
    </row>
    <row r="1812" spans="1:1" ht="20.25" customHeight="1" x14ac:dyDescent="0.2">
      <c r="A1812" s="15"/>
    </row>
    <row r="1813" spans="1:1" ht="20.25" customHeight="1" x14ac:dyDescent="0.2">
      <c r="A1813" s="15"/>
    </row>
    <row r="1814" spans="1:1" ht="20.25" customHeight="1" x14ac:dyDescent="0.2">
      <c r="A1814" s="15"/>
    </row>
    <row r="1815" spans="1:1" ht="20.25" customHeight="1" x14ac:dyDescent="0.2">
      <c r="A1815" s="15"/>
    </row>
    <row r="1816" spans="1:1" ht="20.25" customHeight="1" x14ac:dyDescent="0.2">
      <c r="A1816" s="15"/>
    </row>
    <row r="1817" spans="1:1" ht="20.25" customHeight="1" x14ac:dyDescent="0.2">
      <c r="A1817" s="15"/>
    </row>
    <row r="1818" spans="1:1" ht="20.25" customHeight="1" x14ac:dyDescent="0.2">
      <c r="A1818" s="15"/>
    </row>
    <row r="1819" spans="1:1" ht="20.25" customHeight="1" x14ac:dyDescent="0.2">
      <c r="A1819" s="15"/>
    </row>
    <row r="1820" spans="1:1" ht="20.25" customHeight="1" x14ac:dyDescent="0.2">
      <c r="A1820" s="15"/>
    </row>
    <row r="1821" spans="1:1" ht="20.25" customHeight="1" x14ac:dyDescent="0.2">
      <c r="A1821" s="15"/>
    </row>
    <row r="1822" spans="1:1" ht="20.25" customHeight="1" x14ac:dyDescent="0.2">
      <c r="A1822" s="15"/>
    </row>
    <row r="1823" spans="1:1" ht="20.25" customHeight="1" x14ac:dyDescent="0.2">
      <c r="A1823" s="15"/>
    </row>
    <row r="1824" spans="1:1" ht="20.25" customHeight="1" x14ac:dyDescent="0.2">
      <c r="A1824" s="15"/>
    </row>
    <row r="1825" spans="1:1" ht="20.25" customHeight="1" x14ac:dyDescent="0.2">
      <c r="A1825" s="15"/>
    </row>
    <row r="1826" spans="1:1" ht="20.25" customHeight="1" x14ac:dyDescent="0.2">
      <c r="A1826" s="15"/>
    </row>
    <row r="1827" spans="1:1" ht="20.25" customHeight="1" x14ac:dyDescent="0.2">
      <c r="A1827" s="15"/>
    </row>
    <row r="1828" spans="1:1" ht="20.25" customHeight="1" x14ac:dyDescent="0.2">
      <c r="A1828" s="15"/>
    </row>
    <row r="1829" spans="1:1" ht="20.25" customHeight="1" x14ac:dyDescent="0.2">
      <c r="A1829" s="15"/>
    </row>
    <row r="1830" spans="1:1" ht="20.25" customHeight="1" x14ac:dyDescent="0.2">
      <c r="A1830" s="15"/>
    </row>
    <row r="1831" spans="1:1" ht="20.25" customHeight="1" x14ac:dyDescent="0.2">
      <c r="A1831" s="15"/>
    </row>
    <row r="1832" spans="1:1" ht="20.25" customHeight="1" x14ac:dyDescent="0.2">
      <c r="A1832" s="15"/>
    </row>
    <row r="1833" spans="1:1" ht="20.25" customHeight="1" x14ac:dyDescent="0.2">
      <c r="A1833" s="15"/>
    </row>
    <row r="1834" spans="1:1" ht="20.25" customHeight="1" x14ac:dyDescent="0.2">
      <c r="A1834" s="15"/>
    </row>
    <row r="1835" spans="1:1" ht="20.25" customHeight="1" x14ac:dyDescent="0.2">
      <c r="A1835" s="15"/>
    </row>
    <row r="1836" spans="1:1" ht="20.25" customHeight="1" x14ac:dyDescent="0.2">
      <c r="A1836" s="15"/>
    </row>
    <row r="1837" spans="1:1" ht="20.25" customHeight="1" x14ac:dyDescent="0.2">
      <c r="A1837" s="15"/>
    </row>
    <row r="1838" spans="1:1" ht="20.25" customHeight="1" x14ac:dyDescent="0.2">
      <c r="A1838" s="15"/>
    </row>
    <row r="1839" spans="1:1" ht="20.25" customHeight="1" x14ac:dyDescent="0.2">
      <c r="A1839" s="15"/>
    </row>
    <row r="1840" spans="1:1" ht="20.25" customHeight="1" x14ac:dyDescent="0.2">
      <c r="A1840" s="15"/>
    </row>
    <row r="1841" spans="1:1" ht="20.25" customHeight="1" x14ac:dyDescent="0.2">
      <c r="A1841" s="15"/>
    </row>
    <row r="1842" spans="1:1" ht="20.25" customHeight="1" x14ac:dyDescent="0.2">
      <c r="A1842" s="15"/>
    </row>
    <row r="1843" spans="1:1" ht="20.25" customHeight="1" x14ac:dyDescent="0.2">
      <c r="A1843" s="15"/>
    </row>
    <row r="1844" spans="1:1" ht="20.25" customHeight="1" x14ac:dyDescent="0.2">
      <c r="A1844" s="15"/>
    </row>
    <row r="1845" spans="1:1" ht="20.25" customHeight="1" x14ac:dyDescent="0.2">
      <c r="A1845" s="15"/>
    </row>
    <row r="1846" spans="1:1" ht="20.25" customHeight="1" x14ac:dyDescent="0.2">
      <c r="A1846" s="15"/>
    </row>
    <row r="1847" spans="1:1" ht="20.25" customHeight="1" x14ac:dyDescent="0.2">
      <c r="A1847" s="15"/>
    </row>
    <row r="1848" spans="1:1" ht="20.25" customHeight="1" x14ac:dyDescent="0.2">
      <c r="A1848" s="15"/>
    </row>
    <row r="1849" spans="1:1" ht="20.25" customHeight="1" x14ac:dyDescent="0.2">
      <c r="A1849" s="15"/>
    </row>
    <row r="1850" spans="1:1" ht="20.25" customHeight="1" x14ac:dyDescent="0.2">
      <c r="A1850" s="15"/>
    </row>
    <row r="1851" spans="1:1" ht="20.25" customHeight="1" x14ac:dyDescent="0.2">
      <c r="A1851" s="15"/>
    </row>
    <row r="1852" spans="1:1" ht="20.25" customHeight="1" x14ac:dyDescent="0.2">
      <c r="A1852" s="15"/>
    </row>
    <row r="1853" spans="1:1" ht="20.25" customHeight="1" x14ac:dyDescent="0.2">
      <c r="A1853" s="15"/>
    </row>
    <row r="1854" spans="1:1" ht="20.25" customHeight="1" x14ac:dyDescent="0.2">
      <c r="A1854" s="15"/>
    </row>
    <row r="1855" spans="1:1" ht="20.25" customHeight="1" x14ac:dyDescent="0.2">
      <c r="A1855" s="15"/>
    </row>
    <row r="1856" spans="1:1" ht="20.25" customHeight="1" x14ac:dyDescent="0.2">
      <c r="A1856" s="15"/>
    </row>
    <row r="1857" spans="1:1" ht="20.25" customHeight="1" x14ac:dyDescent="0.2">
      <c r="A1857" s="15"/>
    </row>
    <row r="1858" spans="1:1" ht="20.25" customHeight="1" x14ac:dyDescent="0.2">
      <c r="A1858" s="15"/>
    </row>
    <row r="1859" spans="1:1" ht="20.25" customHeight="1" x14ac:dyDescent="0.2">
      <c r="A1859" s="15"/>
    </row>
    <row r="1860" spans="1:1" ht="20.25" customHeight="1" x14ac:dyDescent="0.2">
      <c r="A1860" s="15"/>
    </row>
    <row r="1861" spans="1:1" ht="20.25" customHeight="1" x14ac:dyDescent="0.2">
      <c r="A1861" s="15"/>
    </row>
    <row r="1862" spans="1:1" ht="20.25" customHeight="1" x14ac:dyDescent="0.2">
      <c r="A1862" s="15"/>
    </row>
    <row r="1863" spans="1:1" ht="20.25" customHeight="1" x14ac:dyDescent="0.2">
      <c r="A1863" s="15"/>
    </row>
    <row r="1864" spans="1:1" ht="20.25" customHeight="1" x14ac:dyDescent="0.2">
      <c r="A1864" s="15"/>
    </row>
    <row r="1865" spans="1:1" ht="20.25" customHeight="1" x14ac:dyDescent="0.2">
      <c r="A1865" s="15"/>
    </row>
    <row r="1866" spans="1:1" ht="20.25" customHeight="1" x14ac:dyDescent="0.2">
      <c r="A1866" s="15"/>
    </row>
    <row r="1867" spans="1:1" ht="20.25" customHeight="1" x14ac:dyDescent="0.2">
      <c r="A1867" s="15"/>
    </row>
    <row r="1868" spans="1:1" ht="20.25" customHeight="1" x14ac:dyDescent="0.2">
      <c r="A1868" s="15"/>
    </row>
    <row r="1869" spans="1:1" ht="20.25" customHeight="1" x14ac:dyDescent="0.2">
      <c r="A1869" s="15"/>
    </row>
    <row r="1870" spans="1:1" ht="20.25" customHeight="1" x14ac:dyDescent="0.2">
      <c r="A1870" s="15"/>
    </row>
    <row r="1871" spans="1:1" ht="20.25" customHeight="1" x14ac:dyDescent="0.2">
      <c r="A1871" s="15"/>
    </row>
    <row r="1872" spans="1:1" ht="20.25" customHeight="1" x14ac:dyDescent="0.2">
      <c r="A1872" s="15"/>
    </row>
    <row r="1873" spans="1:1" ht="20.25" customHeight="1" x14ac:dyDescent="0.2">
      <c r="A1873" s="15"/>
    </row>
    <row r="1874" spans="1:1" ht="20.25" customHeight="1" x14ac:dyDescent="0.2">
      <c r="A1874" s="15"/>
    </row>
    <row r="1875" spans="1:1" ht="20.25" customHeight="1" x14ac:dyDescent="0.2">
      <c r="A1875" s="15"/>
    </row>
    <row r="1876" spans="1:1" ht="20.25" customHeight="1" x14ac:dyDescent="0.2">
      <c r="A1876" s="15"/>
    </row>
    <row r="1877" spans="1:1" ht="20.25" customHeight="1" x14ac:dyDescent="0.2">
      <c r="A1877" s="15"/>
    </row>
    <row r="1878" spans="1:1" ht="20.25" customHeight="1" x14ac:dyDescent="0.2">
      <c r="A1878" s="15"/>
    </row>
    <row r="1879" spans="1:1" ht="20.25" customHeight="1" x14ac:dyDescent="0.2">
      <c r="A1879" s="15"/>
    </row>
    <row r="1880" spans="1:1" ht="20.25" customHeight="1" x14ac:dyDescent="0.2">
      <c r="A1880" s="15"/>
    </row>
    <row r="1881" spans="1:1" ht="20.25" customHeight="1" x14ac:dyDescent="0.2">
      <c r="A1881" s="15"/>
    </row>
    <row r="1882" spans="1:1" ht="20.25" customHeight="1" x14ac:dyDescent="0.2">
      <c r="A1882" s="15"/>
    </row>
    <row r="1883" spans="1:1" ht="20.25" customHeight="1" x14ac:dyDescent="0.2">
      <c r="A1883" s="15"/>
    </row>
    <row r="1884" spans="1:1" ht="20.25" customHeight="1" x14ac:dyDescent="0.2">
      <c r="A1884" s="15"/>
    </row>
    <row r="1885" spans="1:1" ht="20.25" customHeight="1" x14ac:dyDescent="0.2">
      <c r="A1885" s="15"/>
    </row>
    <row r="1886" spans="1:1" ht="20.25" customHeight="1" x14ac:dyDescent="0.2">
      <c r="A1886" s="15"/>
    </row>
    <row r="1887" spans="1:1" ht="20.25" customHeight="1" x14ac:dyDescent="0.2">
      <c r="A1887" s="15"/>
    </row>
    <row r="1888" spans="1:1" ht="20.25" customHeight="1" x14ac:dyDescent="0.2">
      <c r="A1888" s="15"/>
    </row>
    <row r="1889" spans="1:1" ht="20.25" customHeight="1" x14ac:dyDescent="0.2">
      <c r="A1889" s="15"/>
    </row>
    <row r="1890" spans="1:1" ht="20.25" customHeight="1" x14ac:dyDescent="0.2">
      <c r="A1890" s="15"/>
    </row>
    <row r="1891" spans="1:1" ht="20.25" customHeight="1" x14ac:dyDescent="0.2">
      <c r="A1891" s="15"/>
    </row>
    <row r="1892" spans="1:1" ht="20.25" customHeight="1" x14ac:dyDescent="0.2">
      <c r="A1892" s="15"/>
    </row>
    <row r="1893" spans="1:1" ht="20.25" customHeight="1" x14ac:dyDescent="0.2">
      <c r="A1893" s="15"/>
    </row>
    <row r="1894" spans="1:1" ht="20.25" customHeight="1" x14ac:dyDescent="0.2">
      <c r="A1894" s="15"/>
    </row>
    <row r="1895" spans="1:1" ht="20.25" customHeight="1" x14ac:dyDescent="0.2">
      <c r="A1895" s="15"/>
    </row>
    <row r="1896" spans="1:1" ht="20.25" customHeight="1" x14ac:dyDescent="0.2">
      <c r="A1896" s="15"/>
    </row>
    <row r="1897" spans="1:1" ht="20.25" customHeight="1" x14ac:dyDescent="0.2">
      <c r="A1897" s="15"/>
    </row>
    <row r="1898" spans="1:1" ht="20.25" customHeight="1" x14ac:dyDescent="0.2">
      <c r="A1898" s="15"/>
    </row>
    <row r="1899" spans="1:1" ht="20.25" customHeight="1" x14ac:dyDescent="0.2">
      <c r="A1899" s="15"/>
    </row>
    <row r="1900" spans="1:1" ht="20.25" customHeight="1" x14ac:dyDescent="0.2">
      <c r="A1900" s="15"/>
    </row>
    <row r="1901" spans="1:1" ht="20.25" customHeight="1" x14ac:dyDescent="0.2">
      <c r="A1901" s="15"/>
    </row>
    <row r="1902" spans="1:1" ht="20.25" customHeight="1" x14ac:dyDescent="0.2">
      <c r="A1902" s="15"/>
    </row>
    <row r="1903" spans="1:1" ht="20.25" customHeight="1" x14ac:dyDescent="0.2">
      <c r="A1903" s="15"/>
    </row>
    <row r="1904" spans="1:1" ht="20.25" customHeight="1" x14ac:dyDescent="0.2">
      <c r="A1904" s="15"/>
    </row>
    <row r="1905" spans="1:1" ht="20.25" customHeight="1" x14ac:dyDescent="0.2">
      <c r="A1905" s="15"/>
    </row>
    <row r="1906" spans="1:1" ht="20.25" customHeight="1" x14ac:dyDescent="0.2">
      <c r="A1906" s="15"/>
    </row>
    <row r="1907" spans="1:1" ht="20.25" customHeight="1" x14ac:dyDescent="0.2">
      <c r="A1907" s="15"/>
    </row>
    <row r="1908" spans="1:1" ht="20.25" customHeight="1" x14ac:dyDescent="0.2">
      <c r="A1908" s="15"/>
    </row>
    <row r="1909" spans="1:1" ht="20.25" customHeight="1" x14ac:dyDescent="0.2">
      <c r="A1909" s="15"/>
    </row>
    <row r="1910" spans="1:1" ht="20.25" customHeight="1" x14ac:dyDescent="0.2">
      <c r="A1910" s="15"/>
    </row>
    <row r="1911" spans="1:1" ht="20.25" customHeight="1" x14ac:dyDescent="0.2">
      <c r="A1911" s="15"/>
    </row>
    <row r="1912" spans="1:1" ht="20.25" customHeight="1" x14ac:dyDescent="0.2">
      <c r="A1912" s="15"/>
    </row>
    <row r="1913" spans="1:1" ht="20.25" customHeight="1" x14ac:dyDescent="0.2">
      <c r="A1913" s="15"/>
    </row>
    <row r="1914" spans="1:1" ht="20.25" customHeight="1" x14ac:dyDescent="0.2">
      <c r="A1914" s="15"/>
    </row>
    <row r="1915" spans="1:1" ht="20.25" customHeight="1" x14ac:dyDescent="0.2">
      <c r="A1915" s="15"/>
    </row>
    <row r="1916" spans="1:1" ht="20.25" customHeight="1" x14ac:dyDescent="0.2">
      <c r="A1916" s="15"/>
    </row>
    <row r="1917" spans="1:1" ht="20.25" customHeight="1" x14ac:dyDescent="0.2">
      <c r="A1917" s="15"/>
    </row>
    <row r="1918" spans="1:1" ht="20.25" customHeight="1" x14ac:dyDescent="0.2">
      <c r="A1918" s="15"/>
    </row>
    <row r="1919" spans="1:1" ht="20.25" customHeight="1" x14ac:dyDescent="0.2">
      <c r="A1919" s="15"/>
    </row>
    <row r="1920" spans="1:1" ht="20.25" customHeight="1" x14ac:dyDescent="0.2">
      <c r="A1920" s="15"/>
    </row>
    <row r="1921" spans="1:1" ht="20.25" customHeight="1" x14ac:dyDescent="0.2">
      <c r="A1921" s="15"/>
    </row>
    <row r="1922" spans="1:1" ht="20.25" customHeight="1" x14ac:dyDescent="0.2">
      <c r="A1922" s="15"/>
    </row>
    <row r="1923" spans="1:1" ht="20.25" customHeight="1" x14ac:dyDescent="0.2">
      <c r="A1923" s="15"/>
    </row>
    <row r="1924" spans="1:1" ht="20.25" customHeight="1" x14ac:dyDescent="0.2">
      <c r="A1924" s="15"/>
    </row>
    <row r="1925" spans="1:1" ht="20.25" customHeight="1" x14ac:dyDescent="0.2">
      <c r="A1925" s="15"/>
    </row>
    <row r="1926" spans="1:1" ht="20.25" customHeight="1" x14ac:dyDescent="0.2">
      <c r="A1926" s="15"/>
    </row>
    <row r="1927" spans="1:1" ht="20.25" customHeight="1" x14ac:dyDescent="0.2">
      <c r="A1927" s="15"/>
    </row>
    <row r="1928" spans="1:1" ht="20.25" customHeight="1" x14ac:dyDescent="0.2">
      <c r="A1928" s="15"/>
    </row>
    <row r="1929" spans="1:1" ht="20.25" customHeight="1" x14ac:dyDescent="0.2">
      <c r="A1929" s="15"/>
    </row>
    <row r="1930" spans="1:1" ht="20.25" customHeight="1" x14ac:dyDescent="0.2">
      <c r="A1930" s="15"/>
    </row>
    <row r="1931" spans="1:1" ht="20.25" customHeight="1" x14ac:dyDescent="0.2">
      <c r="A1931" s="15"/>
    </row>
    <row r="1932" spans="1:1" ht="20.25" customHeight="1" x14ac:dyDescent="0.2">
      <c r="A1932" s="15"/>
    </row>
    <row r="1933" spans="1:1" ht="20.25" customHeight="1" x14ac:dyDescent="0.2">
      <c r="A1933" s="15"/>
    </row>
    <row r="1934" spans="1:1" ht="20.25" customHeight="1" x14ac:dyDescent="0.2">
      <c r="A1934" s="15"/>
    </row>
    <row r="1935" spans="1:1" ht="20.25" customHeight="1" x14ac:dyDescent="0.2">
      <c r="A1935" s="15"/>
    </row>
    <row r="1936" spans="1:1" ht="20.25" customHeight="1" x14ac:dyDescent="0.2">
      <c r="A1936" s="15"/>
    </row>
    <row r="1937" spans="1:1" ht="20.25" customHeight="1" x14ac:dyDescent="0.2">
      <c r="A1937" s="15"/>
    </row>
    <row r="1938" spans="1:1" ht="20.25" customHeight="1" x14ac:dyDescent="0.2">
      <c r="A1938" s="15"/>
    </row>
    <row r="1939" spans="1:1" ht="20.25" customHeight="1" x14ac:dyDescent="0.2">
      <c r="A1939" s="15"/>
    </row>
    <row r="1940" spans="1:1" ht="20.25" customHeight="1" x14ac:dyDescent="0.2">
      <c r="A1940" s="15"/>
    </row>
    <row r="1941" spans="1:1" ht="20.25" customHeight="1" x14ac:dyDescent="0.2">
      <c r="A1941" s="15"/>
    </row>
    <row r="1942" spans="1:1" ht="20.25" customHeight="1" x14ac:dyDescent="0.2">
      <c r="A1942" s="15"/>
    </row>
    <row r="1943" spans="1:1" ht="20.25" customHeight="1" x14ac:dyDescent="0.2">
      <c r="A1943" s="15"/>
    </row>
    <row r="1944" spans="1:1" ht="20.25" customHeight="1" x14ac:dyDescent="0.2">
      <c r="A1944" s="15"/>
    </row>
    <row r="1945" spans="1:1" ht="20.25" customHeight="1" x14ac:dyDescent="0.2">
      <c r="A1945" s="15"/>
    </row>
    <row r="1946" spans="1:1" ht="20.25" customHeight="1" x14ac:dyDescent="0.2">
      <c r="A1946" s="15"/>
    </row>
    <row r="1947" spans="1:1" ht="20.25" customHeight="1" x14ac:dyDescent="0.2">
      <c r="A1947" s="15"/>
    </row>
    <row r="1948" spans="1:1" ht="20.25" customHeight="1" x14ac:dyDescent="0.2">
      <c r="A1948" s="15"/>
    </row>
    <row r="1949" spans="1:1" ht="20.25" customHeight="1" x14ac:dyDescent="0.2">
      <c r="A1949" s="15"/>
    </row>
    <row r="1950" spans="1:1" ht="20.25" customHeight="1" x14ac:dyDescent="0.2">
      <c r="A1950" s="15"/>
    </row>
    <row r="1951" spans="1:1" ht="20.25" customHeight="1" x14ac:dyDescent="0.2">
      <c r="A1951" s="15"/>
    </row>
    <row r="1952" spans="1:1" ht="20.25" customHeight="1" x14ac:dyDescent="0.2">
      <c r="A1952" s="15"/>
    </row>
    <row r="1953" spans="1:1" ht="20.25" customHeight="1" x14ac:dyDescent="0.2">
      <c r="A1953" s="15"/>
    </row>
    <row r="1954" spans="1:1" ht="20.25" customHeight="1" x14ac:dyDescent="0.2">
      <c r="A1954" s="15"/>
    </row>
    <row r="1955" spans="1:1" ht="20.25" customHeight="1" x14ac:dyDescent="0.2">
      <c r="A1955" s="15"/>
    </row>
    <row r="1956" spans="1:1" ht="20.25" customHeight="1" x14ac:dyDescent="0.2">
      <c r="A1956" s="15"/>
    </row>
    <row r="1957" spans="1:1" ht="20.25" customHeight="1" x14ac:dyDescent="0.2">
      <c r="A1957" s="15"/>
    </row>
    <row r="1958" spans="1:1" ht="20.25" customHeight="1" x14ac:dyDescent="0.2">
      <c r="A1958" s="15"/>
    </row>
    <row r="1959" spans="1:1" ht="20.25" customHeight="1" x14ac:dyDescent="0.2">
      <c r="A1959" s="15"/>
    </row>
    <row r="1960" spans="1:1" ht="20.25" customHeight="1" x14ac:dyDescent="0.2">
      <c r="A1960" s="15"/>
    </row>
    <row r="1961" spans="1:1" ht="20.25" customHeight="1" x14ac:dyDescent="0.2">
      <c r="A1961" s="15"/>
    </row>
    <row r="1962" spans="1:1" ht="20.25" customHeight="1" x14ac:dyDescent="0.2">
      <c r="A1962" s="15"/>
    </row>
    <row r="1963" spans="1:1" ht="20.25" customHeight="1" x14ac:dyDescent="0.2">
      <c r="A1963" s="15"/>
    </row>
    <row r="1964" spans="1:1" ht="20.25" customHeight="1" x14ac:dyDescent="0.2">
      <c r="A1964" s="15"/>
    </row>
    <row r="1965" spans="1:1" ht="20.25" customHeight="1" x14ac:dyDescent="0.2">
      <c r="A1965" s="15"/>
    </row>
    <row r="1966" spans="1:1" ht="20.25" customHeight="1" x14ac:dyDescent="0.2">
      <c r="A1966" s="15"/>
    </row>
    <row r="1967" spans="1:1" ht="20.25" customHeight="1" x14ac:dyDescent="0.2">
      <c r="A1967" s="15"/>
    </row>
    <row r="1968" spans="1:1" ht="20.25" customHeight="1" x14ac:dyDescent="0.2">
      <c r="A1968" s="15"/>
    </row>
    <row r="1969" spans="1:1" ht="20.25" customHeight="1" x14ac:dyDescent="0.2">
      <c r="A1969" s="15"/>
    </row>
    <row r="1970" spans="1:1" ht="20.25" customHeight="1" x14ac:dyDescent="0.2">
      <c r="A1970" s="15"/>
    </row>
    <row r="1971" spans="1:1" ht="20.25" customHeight="1" x14ac:dyDescent="0.2">
      <c r="A1971" s="15"/>
    </row>
    <row r="1972" spans="1:1" ht="20.25" customHeight="1" x14ac:dyDescent="0.2">
      <c r="A1972" s="15"/>
    </row>
    <row r="1973" spans="1:1" ht="20.25" customHeight="1" x14ac:dyDescent="0.2">
      <c r="A1973" s="15"/>
    </row>
    <row r="1974" spans="1:1" ht="20.25" customHeight="1" x14ac:dyDescent="0.2">
      <c r="A1974" s="15"/>
    </row>
    <row r="1975" spans="1:1" ht="20.25" customHeight="1" x14ac:dyDescent="0.2">
      <c r="A1975" s="15"/>
    </row>
    <row r="1976" spans="1:1" ht="20.25" customHeight="1" x14ac:dyDescent="0.2">
      <c r="A1976" s="15"/>
    </row>
    <row r="1977" spans="1:1" ht="20.25" customHeight="1" x14ac:dyDescent="0.2">
      <c r="A1977" s="15"/>
    </row>
    <row r="1978" spans="1:1" ht="20.25" customHeight="1" x14ac:dyDescent="0.2">
      <c r="A1978" s="15"/>
    </row>
    <row r="1979" spans="1:1" ht="20.25" customHeight="1" x14ac:dyDescent="0.2">
      <c r="A1979" s="15"/>
    </row>
    <row r="1980" spans="1:1" ht="20.25" customHeight="1" x14ac:dyDescent="0.2">
      <c r="A1980" s="15"/>
    </row>
    <row r="1981" spans="1:1" ht="20.25" customHeight="1" x14ac:dyDescent="0.2">
      <c r="A1981" s="15"/>
    </row>
    <row r="1982" spans="1:1" ht="20.25" customHeight="1" x14ac:dyDescent="0.2">
      <c r="A1982" s="15"/>
    </row>
    <row r="1983" spans="1:1" ht="20.25" customHeight="1" x14ac:dyDescent="0.2">
      <c r="A1983" s="15"/>
    </row>
    <row r="1984" spans="1:1" ht="20.25" customHeight="1" x14ac:dyDescent="0.2">
      <c r="A1984" s="15"/>
    </row>
    <row r="1985" spans="1:1" ht="20.25" customHeight="1" x14ac:dyDescent="0.2">
      <c r="A1985" s="15"/>
    </row>
    <row r="1986" spans="1:1" ht="20.25" customHeight="1" x14ac:dyDescent="0.2">
      <c r="A1986" s="15"/>
    </row>
    <row r="1987" spans="1:1" ht="20.25" customHeight="1" x14ac:dyDescent="0.2">
      <c r="A1987" s="15"/>
    </row>
    <row r="1988" spans="1:1" ht="20.25" customHeight="1" x14ac:dyDescent="0.2">
      <c r="A1988" s="15"/>
    </row>
    <row r="1989" spans="1:1" ht="20.25" customHeight="1" x14ac:dyDescent="0.2">
      <c r="A1989" s="15"/>
    </row>
    <row r="1990" spans="1:1" ht="20.25" customHeight="1" x14ac:dyDescent="0.2">
      <c r="A1990" s="15"/>
    </row>
    <row r="1991" spans="1:1" ht="20.25" customHeight="1" x14ac:dyDescent="0.2">
      <c r="A1991" s="15"/>
    </row>
    <row r="1992" spans="1:1" ht="20.25" customHeight="1" x14ac:dyDescent="0.2">
      <c r="A1992" s="15"/>
    </row>
    <row r="1993" spans="1:1" ht="20.25" customHeight="1" x14ac:dyDescent="0.2">
      <c r="A1993" s="15"/>
    </row>
    <row r="1994" spans="1:1" ht="20.25" customHeight="1" x14ac:dyDescent="0.2">
      <c r="A1994" s="15"/>
    </row>
    <row r="1995" spans="1:1" ht="20.25" customHeight="1" x14ac:dyDescent="0.2">
      <c r="A1995" s="15"/>
    </row>
    <row r="1996" spans="1:1" ht="20.25" customHeight="1" x14ac:dyDescent="0.2">
      <c r="A1996" s="15"/>
    </row>
    <row r="1997" spans="1:1" ht="20.25" customHeight="1" x14ac:dyDescent="0.2">
      <c r="A1997" s="15"/>
    </row>
    <row r="1998" spans="1:1" ht="20.25" customHeight="1" x14ac:dyDescent="0.2">
      <c r="A1998" s="15"/>
    </row>
    <row r="1999" spans="1:1" ht="20.25" customHeight="1" x14ac:dyDescent="0.2">
      <c r="A1999" s="15"/>
    </row>
    <row r="2000" spans="1:1" ht="20.25" customHeight="1" x14ac:dyDescent="0.2">
      <c r="A2000" s="15"/>
    </row>
    <row r="2001" spans="1:1" ht="20.25" customHeight="1" x14ac:dyDescent="0.2">
      <c r="A2001" s="15"/>
    </row>
    <row r="2002" spans="1:1" ht="20.25" customHeight="1" x14ac:dyDescent="0.2">
      <c r="A2002" s="15"/>
    </row>
    <row r="2003" spans="1:1" ht="20.25" customHeight="1" x14ac:dyDescent="0.2">
      <c r="A2003" s="15"/>
    </row>
    <row r="2004" spans="1:1" ht="20.25" customHeight="1" x14ac:dyDescent="0.2">
      <c r="A2004" s="15"/>
    </row>
    <row r="2005" spans="1:1" ht="20.25" customHeight="1" x14ac:dyDescent="0.2">
      <c r="A2005" s="15"/>
    </row>
    <row r="2006" spans="1:1" ht="20.25" customHeight="1" x14ac:dyDescent="0.2">
      <c r="A2006" s="15"/>
    </row>
    <row r="2007" spans="1:1" ht="20.25" customHeight="1" x14ac:dyDescent="0.2">
      <c r="A2007" s="15"/>
    </row>
    <row r="2008" spans="1:1" ht="20.25" customHeight="1" x14ac:dyDescent="0.2">
      <c r="A2008" s="15"/>
    </row>
    <row r="2009" spans="1:1" ht="20.25" customHeight="1" x14ac:dyDescent="0.2">
      <c r="A2009" s="15"/>
    </row>
    <row r="2010" spans="1:1" ht="20.25" customHeight="1" x14ac:dyDescent="0.2">
      <c r="A2010" s="15"/>
    </row>
    <row r="2011" spans="1:1" ht="20.25" customHeight="1" x14ac:dyDescent="0.2">
      <c r="A2011" s="15"/>
    </row>
    <row r="2012" spans="1:1" ht="20.25" customHeight="1" x14ac:dyDescent="0.2">
      <c r="A2012" s="15"/>
    </row>
    <row r="2013" spans="1:1" ht="20.25" customHeight="1" x14ac:dyDescent="0.2">
      <c r="A2013" s="15"/>
    </row>
    <row r="2014" spans="1:1" ht="20.25" customHeight="1" x14ac:dyDescent="0.2">
      <c r="A2014" s="15"/>
    </row>
    <row r="2015" spans="1:1" ht="20.25" customHeight="1" x14ac:dyDescent="0.2">
      <c r="A2015" s="15"/>
    </row>
    <row r="2016" spans="1:1" ht="20.25" customHeight="1" x14ac:dyDescent="0.2">
      <c r="A2016" s="15"/>
    </row>
    <row r="2017" spans="1:1" ht="20.25" customHeight="1" x14ac:dyDescent="0.2">
      <c r="A2017" s="15"/>
    </row>
    <row r="2018" spans="1:1" ht="20.25" customHeight="1" x14ac:dyDescent="0.2">
      <c r="A2018" s="15"/>
    </row>
    <row r="2019" spans="1:1" ht="20.25" customHeight="1" x14ac:dyDescent="0.2">
      <c r="A2019" s="15"/>
    </row>
    <row r="2020" spans="1:1" ht="20.25" customHeight="1" x14ac:dyDescent="0.2">
      <c r="A2020" s="15"/>
    </row>
    <row r="2021" spans="1:1" ht="20.25" customHeight="1" x14ac:dyDescent="0.2">
      <c r="A2021" s="15"/>
    </row>
    <row r="2022" spans="1:1" ht="20.25" customHeight="1" x14ac:dyDescent="0.2">
      <c r="A2022" s="15"/>
    </row>
    <row r="2023" spans="1:1" ht="20.25" customHeight="1" x14ac:dyDescent="0.2">
      <c r="A2023" s="15"/>
    </row>
    <row r="2024" spans="1:1" ht="20.25" customHeight="1" x14ac:dyDescent="0.2">
      <c r="A2024" s="15"/>
    </row>
    <row r="2025" spans="1:1" ht="20.25" customHeight="1" x14ac:dyDescent="0.2">
      <c r="A2025" s="15"/>
    </row>
    <row r="2026" spans="1:1" ht="20.25" customHeight="1" x14ac:dyDescent="0.2">
      <c r="A2026" s="15"/>
    </row>
    <row r="2027" spans="1:1" ht="20.25" customHeight="1" x14ac:dyDescent="0.2">
      <c r="A2027" s="15"/>
    </row>
    <row r="2028" spans="1:1" ht="20.25" customHeight="1" x14ac:dyDescent="0.2">
      <c r="A2028" s="15"/>
    </row>
    <row r="2029" spans="1:1" ht="20.25" customHeight="1" x14ac:dyDescent="0.2">
      <c r="A2029" s="15"/>
    </row>
    <row r="2030" spans="1:1" ht="20.25" customHeight="1" x14ac:dyDescent="0.2">
      <c r="A2030" s="15"/>
    </row>
    <row r="2031" spans="1:1" ht="20.25" customHeight="1" x14ac:dyDescent="0.2">
      <c r="A2031" s="15"/>
    </row>
    <row r="2032" spans="1:1" ht="20.25" customHeight="1" x14ac:dyDescent="0.2">
      <c r="A2032" s="15"/>
    </row>
    <row r="2033" spans="1:1" ht="20.25" customHeight="1" x14ac:dyDescent="0.2">
      <c r="A2033" s="15"/>
    </row>
    <row r="2034" spans="1:1" ht="20.25" customHeight="1" x14ac:dyDescent="0.2">
      <c r="A2034" s="15"/>
    </row>
    <row r="2035" spans="1:1" ht="20.25" customHeight="1" x14ac:dyDescent="0.2">
      <c r="A2035" s="15"/>
    </row>
    <row r="2036" spans="1:1" ht="20.25" customHeight="1" x14ac:dyDescent="0.2">
      <c r="A2036" s="15"/>
    </row>
    <row r="2037" spans="1:1" ht="20.25" customHeight="1" x14ac:dyDescent="0.2">
      <c r="A2037" s="15"/>
    </row>
    <row r="2038" spans="1:1" ht="20.25" customHeight="1" x14ac:dyDescent="0.2">
      <c r="A2038" s="15"/>
    </row>
    <row r="2039" spans="1:1" ht="20.25" customHeight="1" x14ac:dyDescent="0.2">
      <c r="A2039" s="15"/>
    </row>
    <row r="2040" spans="1:1" ht="20.25" customHeight="1" x14ac:dyDescent="0.2">
      <c r="A2040" s="15"/>
    </row>
    <row r="2041" spans="1:1" ht="20.25" customHeight="1" x14ac:dyDescent="0.2">
      <c r="A2041" s="15"/>
    </row>
    <row r="2042" spans="1:1" ht="20.25" customHeight="1" x14ac:dyDescent="0.2">
      <c r="A2042" s="15"/>
    </row>
    <row r="2043" spans="1:1" ht="20.25" customHeight="1" x14ac:dyDescent="0.2">
      <c r="A2043" s="15"/>
    </row>
    <row r="2044" spans="1:1" ht="20.25" customHeight="1" x14ac:dyDescent="0.2">
      <c r="A2044" s="15"/>
    </row>
    <row r="2045" spans="1:1" ht="20.25" customHeight="1" x14ac:dyDescent="0.2">
      <c r="A2045" s="15"/>
    </row>
    <row r="2046" spans="1:1" ht="20.25" customHeight="1" x14ac:dyDescent="0.2">
      <c r="A2046" s="15"/>
    </row>
    <row r="2047" spans="1:1" ht="20.25" customHeight="1" x14ac:dyDescent="0.2">
      <c r="A2047" s="15"/>
    </row>
    <row r="2048" spans="1:1" ht="20.25" customHeight="1" x14ac:dyDescent="0.2">
      <c r="A2048" s="15"/>
    </row>
    <row r="2049" spans="1:1" ht="20.25" customHeight="1" x14ac:dyDescent="0.2">
      <c r="A2049" s="15"/>
    </row>
    <row r="2050" spans="1:1" ht="20.25" customHeight="1" x14ac:dyDescent="0.2">
      <c r="A2050" s="15"/>
    </row>
    <row r="2051" spans="1:1" ht="20.25" customHeight="1" x14ac:dyDescent="0.2">
      <c r="A2051" s="15"/>
    </row>
    <row r="2052" spans="1:1" ht="20.25" customHeight="1" x14ac:dyDescent="0.2">
      <c r="A2052" s="15"/>
    </row>
    <row r="2053" spans="1:1" ht="20.25" customHeight="1" x14ac:dyDescent="0.2">
      <c r="A2053" s="15"/>
    </row>
    <row r="2054" spans="1:1" ht="20.25" customHeight="1" x14ac:dyDescent="0.2">
      <c r="A2054" s="15"/>
    </row>
    <row r="2055" spans="1:1" ht="20.25" customHeight="1" x14ac:dyDescent="0.2">
      <c r="A2055" s="15"/>
    </row>
    <row r="2056" spans="1:1" ht="20.25" customHeight="1" x14ac:dyDescent="0.2">
      <c r="A2056" s="15"/>
    </row>
    <row r="2057" spans="1:1" ht="20.25" customHeight="1" x14ac:dyDescent="0.2">
      <c r="A2057" s="15"/>
    </row>
    <row r="2058" spans="1:1" ht="20.25" customHeight="1" x14ac:dyDescent="0.2">
      <c r="A2058" s="15"/>
    </row>
    <row r="2059" spans="1:1" ht="20.25" customHeight="1" x14ac:dyDescent="0.2">
      <c r="A2059" s="15"/>
    </row>
    <row r="2060" spans="1:1" ht="20.25" customHeight="1" x14ac:dyDescent="0.2">
      <c r="A2060" s="15"/>
    </row>
    <row r="2061" spans="1:1" ht="20.25" customHeight="1" x14ac:dyDescent="0.2">
      <c r="A2061" s="15"/>
    </row>
    <row r="2062" spans="1:1" ht="20.25" customHeight="1" x14ac:dyDescent="0.2">
      <c r="A2062" s="15"/>
    </row>
    <row r="2063" spans="1:1" ht="20.25" customHeight="1" x14ac:dyDescent="0.2">
      <c r="A2063" s="15"/>
    </row>
    <row r="2064" spans="1:1" ht="20.25" customHeight="1" x14ac:dyDescent="0.2">
      <c r="A2064" s="15"/>
    </row>
    <row r="2065" spans="1:1" ht="20.25" customHeight="1" x14ac:dyDescent="0.2">
      <c r="A2065" s="15"/>
    </row>
    <row r="2066" spans="1:1" ht="20.25" customHeight="1" x14ac:dyDescent="0.2">
      <c r="A2066" s="15"/>
    </row>
    <row r="2067" spans="1:1" ht="20.25" customHeight="1" x14ac:dyDescent="0.2">
      <c r="A2067" s="15"/>
    </row>
    <row r="2068" spans="1:1" ht="20.25" customHeight="1" x14ac:dyDescent="0.2">
      <c r="A2068" s="15"/>
    </row>
    <row r="2069" spans="1:1" ht="20.25" customHeight="1" x14ac:dyDescent="0.2">
      <c r="A2069" s="15"/>
    </row>
    <row r="2070" spans="1:1" ht="20.25" customHeight="1" x14ac:dyDescent="0.2">
      <c r="A2070" s="15"/>
    </row>
    <row r="2071" spans="1:1" ht="20.25" customHeight="1" x14ac:dyDescent="0.2">
      <c r="A2071" s="15"/>
    </row>
    <row r="2072" spans="1:1" ht="20.25" customHeight="1" x14ac:dyDescent="0.2">
      <c r="A2072" s="15"/>
    </row>
    <row r="2073" spans="1:1" ht="20.25" customHeight="1" x14ac:dyDescent="0.2">
      <c r="A2073" s="15"/>
    </row>
    <row r="2074" spans="1:1" ht="20.25" customHeight="1" x14ac:dyDescent="0.2">
      <c r="A2074" s="15"/>
    </row>
    <row r="2075" spans="1:1" ht="20.25" customHeight="1" x14ac:dyDescent="0.2">
      <c r="A2075" s="15"/>
    </row>
    <row r="2076" spans="1:1" ht="20.25" customHeight="1" x14ac:dyDescent="0.2">
      <c r="A2076" s="15"/>
    </row>
    <row r="2077" spans="1:1" ht="20.25" customHeight="1" x14ac:dyDescent="0.2">
      <c r="A2077" s="15"/>
    </row>
    <row r="2078" spans="1:1" ht="20.25" customHeight="1" x14ac:dyDescent="0.2">
      <c r="A2078" s="15"/>
    </row>
    <row r="2079" spans="1:1" ht="20.25" customHeight="1" x14ac:dyDescent="0.2">
      <c r="A2079" s="15"/>
    </row>
    <row r="2080" spans="1:1" ht="20.25" customHeight="1" x14ac:dyDescent="0.2">
      <c r="A2080" s="15"/>
    </row>
    <row r="2081" spans="1:1" ht="20.25" customHeight="1" x14ac:dyDescent="0.2">
      <c r="A2081" s="15"/>
    </row>
    <row r="2082" spans="1:1" ht="20.25" customHeight="1" x14ac:dyDescent="0.2">
      <c r="A2082" s="15"/>
    </row>
    <row r="2083" spans="1:1" ht="20.25" customHeight="1" x14ac:dyDescent="0.2">
      <c r="A2083" s="15"/>
    </row>
    <row r="2084" spans="1:1" ht="20.25" customHeight="1" x14ac:dyDescent="0.2">
      <c r="A2084" s="15"/>
    </row>
    <row r="2085" spans="1:1" ht="20.25" customHeight="1" x14ac:dyDescent="0.2">
      <c r="A2085" s="15"/>
    </row>
    <row r="2086" spans="1:1" ht="20.25" customHeight="1" x14ac:dyDescent="0.2">
      <c r="A2086" s="15"/>
    </row>
    <row r="2087" spans="1:1" ht="20.25" customHeight="1" x14ac:dyDescent="0.2">
      <c r="A2087" s="15"/>
    </row>
    <row r="2088" spans="1:1" ht="20.25" customHeight="1" x14ac:dyDescent="0.2">
      <c r="A2088" s="15"/>
    </row>
    <row r="2089" spans="1:1" ht="20.25" customHeight="1" x14ac:dyDescent="0.2">
      <c r="A2089" s="15"/>
    </row>
    <row r="2090" spans="1:1" ht="20.25" customHeight="1" x14ac:dyDescent="0.2">
      <c r="A2090" s="15"/>
    </row>
    <row r="2091" spans="1:1" ht="20.25" customHeight="1" x14ac:dyDescent="0.2">
      <c r="A2091" s="15"/>
    </row>
    <row r="2092" spans="1:1" ht="20.25" customHeight="1" x14ac:dyDescent="0.2">
      <c r="A2092" s="15"/>
    </row>
    <row r="2093" spans="1:1" ht="20.25" customHeight="1" x14ac:dyDescent="0.2">
      <c r="A2093" s="15"/>
    </row>
    <row r="2094" spans="1:1" ht="20.25" customHeight="1" x14ac:dyDescent="0.2">
      <c r="A2094" s="15"/>
    </row>
    <row r="2095" spans="1:1" ht="20.25" customHeight="1" x14ac:dyDescent="0.2">
      <c r="A2095" s="15"/>
    </row>
    <row r="2096" spans="1:1" ht="20.25" customHeight="1" x14ac:dyDescent="0.2">
      <c r="A2096" s="15"/>
    </row>
    <row r="2097" spans="1:1" ht="20.25" customHeight="1" x14ac:dyDescent="0.2">
      <c r="A2097" s="15"/>
    </row>
    <row r="2098" spans="1:1" ht="20.25" customHeight="1" x14ac:dyDescent="0.2">
      <c r="A2098" s="15"/>
    </row>
    <row r="2099" spans="1:1" ht="20.25" customHeight="1" x14ac:dyDescent="0.2">
      <c r="A2099" s="15"/>
    </row>
    <row r="2100" spans="1:1" ht="20.25" customHeight="1" x14ac:dyDescent="0.2">
      <c r="A2100" s="15"/>
    </row>
    <row r="2101" spans="1:1" ht="20.25" customHeight="1" x14ac:dyDescent="0.2">
      <c r="A2101" s="15"/>
    </row>
    <row r="2102" spans="1:1" ht="20.25" customHeight="1" x14ac:dyDescent="0.2">
      <c r="A2102" s="15"/>
    </row>
    <row r="2103" spans="1:1" ht="20.25" customHeight="1" x14ac:dyDescent="0.2">
      <c r="A2103" s="15"/>
    </row>
    <row r="2104" spans="1:1" ht="20.25" customHeight="1" x14ac:dyDescent="0.2">
      <c r="A2104" s="15"/>
    </row>
    <row r="2105" spans="1:1" ht="20.25" customHeight="1" x14ac:dyDescent="0.2">
      <c r="A2105" s="15"/>
    </row>
    <row r="2106" spans="1:1" ht="20.25" customHeight="1" x14ac:dyDescent="0.2">
      <c r="A2106" s="15"/>
    </row>
    <row r="2107" spans="1:1" ht="20.25" customHeight="1" x14ac:dyDescent="0.2">
      <c r="A2107" s="15"/>
    </row>
    <row r="2108" spans="1:1" ht="20.25" customHeight="1" x14ac:dyDescent="0.2">
      <c r="A2108" s="15"/>
    </row>
    <row r="2109" spans="1:1" ht="20.25" customHeight="1" x14ac:dyDescent="0.2">
      <c r="A2109" s="15"/>
    </row>
    <row r="2110" spans="1:1" ht="20.25" customHeight="1" x14ac:dyDescent="0.2">
      <c r="A2110" s="15"/>
    </row>
    <row r="2111" spans="1:1" ht="20.25" customHeight="1" x14ac:dyDescent="0.2">
      <c r="A2111" s="15"/>
    </row>
    <row r="2112" spans="1:1" ht="20.25" customHeight="1" x14ac:dyDescent="0.2">
      <c r="A2112" s="15"/>
    </row>
    <row r="2113" spans="1:1" ht="20.25" customHeight="1" x14ac:dyDescent="0.2">
      <c r="A2113" s="15"/>
    </row>
    <row r="2114" spans="1:1" ht="20.25" customHeight="1" x14ac:dyDescent="0.2">
      <c r="A2114" s="15"/>
    </row>
    <row r="2115" spans="1:1" ht="20.25" customHeight="1" x14ac:dyDescent="0.2">
      <c r="A2115" s="15"/>
    </row>
    <row r="2116" spans="1:1" ht="20.25" customHeight="1" x14ac:dyDescent="0.2">
      <c r="A2116" s="15"/>
    </row>
    <row r="2117" spans="1:1" ht="20.25" customHeight="1" x14ac:dyDescent="0.2">
      <c r="A2117" s="15"/>
    </row>
    <row r="2118" spans="1:1" ht="20.25" customHeight="1" x14ac:dyDescent="0.2">
      <c r="A2118" s="15"/>
    </row>
    <row r="2119" spans="1:1" ht="20.25" customHeight="1" x14ac:dyDescent="0.2">
      <c r="A2119" s="15"/>
    </row>
    <row r="2120" spans="1:1" ht="20.25" customHeight="1" x14ac:dyDescent="0.2">
      <c r="A2120" s="15"/>
    </row>
    <row r="2121" spans="1:1" ht="20.25" customHeight="1" x14ac:dyDescent="0.2">
      <c r="A2121" s="15"/>
    </row>
    <row r="2122" spans="1:1" ht="20.25" customHeight="1" x14ac:dyDescent="0.2">
      <c r="A2122" s="15"/>
    </row>
    <row r="2123" spans="1:1" ht="20.25" customHeight="1" x14ac:dyDescent="0.2">
      <c r="A2123" s="15"/>
    </row>
    <row r="2124" spans="1:1" ht="20.25" customHeight="1" x14ac:dyDescent="0.2">
      <c r="A2124" s="15"/>
    </row>
    <row r="2125" spans="1:1" ht="20.25" customHeight="1" x14ac:dyDescent="0.2">
      <c r="A2125" s="15"/>
    </row>
    <row r="2126" spans="1:1" ht="20.25" customHeight="1" x14ac:dyDescent="0.2">
      <c r="A2126" s="15"/>
    </row>
    <row r="2127" spans="1:1" ht="20.25" customHeight="1" x14ac:dyDescent="0.2">
      <c r="A2127" s="15"/>
    </row>
    <row r="2128" spans="1:1" ht="20.25" customHeight="1" x14ac:dyDescent="0.2">
      <c r="A2128" s="15"/>
    </row>
    <row r="2129" spans="1:1" ht="20.25" customHeight="1" x14ac:dyDescent="0.2">
      <c r="A2129" s="15"/>
    </row>
    <row r="2130" spans="1:1" ht="20.25" customHeight="1" x14ac:dyDescent="0.2">
      <c r="A2130" s="15"/>
    </row>
    <row r="2131" spans="1:1" ht="20.25" customHeight="1" x14ac:dyDescent="0.2">
      <c r="A2131" s="15"/>
    </row>
    <row r="2132" spans="1:1" ht="20.25" customHeight="1" x14ac:dyDescent="0.2">
      <c r="A2132" s="15"/>
    </row>
    <row r="2133" spans="1:1" ht="20.25" customHeight="1" x14ac:dyDescent="0.2">
      <c r="A2133" s="15"/>
    </row>
    <row r="2134" spans="1:1" ht="20.25" customHeight="1" x14ac:dyDescent="0.2">
      <c r="A2134" s="15"/>
    </row>
    <row r="2135" spans="1:1" ht="20.25" customHeight="1" x14ac:dyDescent="0.2">
      <c r="A2135" s="15"/>
    </row>
    <row r="2136" spans="1:1" ht="20.25" customHeight="1" x14ac:dyDescent="0.2">
      <c r="A2136" s="15"/>
    </row>
    <row r="2137" spans="1:1" ht="20.25" customHeight="1" x14ac:dyDescent="0.2">
      <c r="A2137" s="15"/>
    </row>
    <row r="2138" spans="1:1" ht="20.25" customHeight="1" x14ac:dyDescent="0.2">
      <c r="A2138" s="15"/>
    </row>
    <row r="2139" spans="1:1" ht="20.25" customHeight="1" x14ac:dyDescent="0.2">
      <c r="A2139" s="15"/>
    </row>
    <row r="2140" spans="1:1" ht="20.25" customHeight="1" x14ac:dyDescent="0.2">
      <c r="A2140" s="15"/>
    </row>
    <row r="2141" spans="1:1" ht="20.25" customHeight="1" x14ac:dyDescent="0.2">
      <c r="A2141" s="15"/>
    </row>
    <row r="2142" spans="1:1" ht="20.25" customHeight="1" x14ac:dyDescent="0.2">
      <c r="A2142" s="15"/>
    </row>
    <row r="2143" spans="1:1" ht="20.25" customHeight="1" x14ac:dyDescent="0.2">
      <c r="A2143" s="15"/>
    </row>
    <row r="2144" spans="1:1" ht="20.25" customHeight="1" x14ac:dyDescent="0.2">
      <c r="A2144" s="15"/>
    </row>
    <row r="2145" spans="1:1" ht="20.25" customHeight="1" x14ac:dyDescent="0.2">
      <c r="A2145" s="15"/>
    </row>
    <row r="2146" spans="1:1" ht="20.25" customHeight="1" x14ac:dyDescent="0.2">
      <c r="A2146" s="15"/>
    </row>
    <row r="2147" spans="1:1" ht="20.25" customHeight="1" x14ac:dyDescent="0.2">
      <c r="A2147" s="15"/>
    </row>
    <row r="2148" spans="1:1" ht="20.25" customHeight="1" x14ac:dyDescent="0.2">
      <c r="A2148" s="15"/>
    </row>
    <row r="2149" spans="1:1" ht="20.25" customHeight="1" x14ac:dyDescent="0.2">
      <c r="A2149" s="15"/>
    </row>
    <row r="2150" spans="1:1" ht="20.25" customHeight="1" x14ac:dyDescent="0.2">
      <c r="A2150" s="15"/>
    </row>
    <row r="2151" spans="1:1" ht="20.25" customHeight="1" x14ac:dyDescent="0.2">
      <c r="A2151" s="15"/>
    </row>
    <row r="2152" spans="1:1" ht="20.25" customHeight="1" x14ac:dyDescent="0.2">
      <c r="A2152" s="15"/>
    </row>
    <row r="2153" spans="1:1" ht="20.25" customHeight="1" x14ac:dyDescent="0.2">
      <c r="A2153" s="15"/>
    </row>
    <row r="2154" spans="1:1" ht="20.25" customHeight="1" x14ac:dyDescent="0.2">
      <c r="A2154" s="15"/>
    </row>
    <row r="2155" spans="1:1" ht="20.25" customHeight="1" x14ac:dyDescent="0.2">
      <c r="A2155" s="15"/>
    </row>
    <row r="2156" spans="1:1" ht="20.25" customHeight="1" x14ac:dyDescent="0.2">
      <c r="A2156" s="15"/>
    </row>
    <row r="2157" spans="1:1" ht="20.25" customHeight="1" x14ac:dyDescent="0.2">
      <c r="A2157" s="15"/>
    </row>
    <row r="2158" spans="1:1" ht="20.25" customHeight="1" x14ac:dyDescent="0.2">
      <c r="A2158" s="15"/>
    </row>
    <row r="2159" spans="1:1" ht="20.25" customHeight="1" x14ac:dyDescent="0.2">
      <c r="A2159" s="15"/>
    </row>
    <row r="2160" spans="1:1" ht="20.25" customHeight="1" x14ac:dyDescent="0.2">
      <c r="A2160" s="15"/>
    </row>
    <row r="2161" spans="1:1" ht="20.25" customHeight="1" x14ac:dyDescent="0.2">
      <c r="A2161" s="15"/>
    </row>
    <row r="2162" spans="1:1" ht="20.25" customHeight="1" x14ac:dyDescent="0.2">
      <c r="A2162" s="15"/>
    </row>
    <row r="2163" spans="1:1" ht="20.25" customHeight="1" x14ac:dyDescent="0.2">
      <c r="A2163" s="15"/>
    </row>
    <row r="2164" spans="1:1" ht="20.25" customHeight="1" x14ac:dyDescent="0.2">
      <c r="A2164" s="15"/>
    </row>
    <row r="2165" spans="1:1" ht="20.25" customHeight="1" x14ac:dyDescent="0.2">
      <c r="A2165" s="15"/>
    </row>
    <row r="2166" spans="1:1" ht="20.25" customHeight="1" x14ac:dyDescent="0.2">
      <c r="A2166" s="15"/>
    </row>
    <row r="2167" spans="1:1" ht="20.25" customHeight="1" x14ac:dyDescent="0.2">
      <c r="A2167" s="15"/>
    </row>
    <row r="2168" spans="1:1" ht="20.25" customHeight="1" x14ac:dyDescent="0.2">
      <c r="A2168" s="15"/>
    </row>
    <row r="2169" spans="1:1" ht="20.25" customHeight="1" x14ac:dyDescent="0.2">
      <c r="A2169" s="15"/>
    </row>
    <row r="2170" spans="1:1" ht="20.25" customHeight="1" x14ac:dyDescent="0.2">
      <c r="A2170" s="15"/>
    </row>
    <row r="2171" spans="1:1" ht="20.25" customHeight="1" x14ac:dyDescent="0.2">
      <c r="A2171" s="15"/>
    </row>
    <row r="2172" spans="1:1" ht="20.25" customHeight="1" x14ac:dyDescent="0.2">
      <c r="A2172" s="15"/>
    </row>
    <row r="2173" spans="1:1" ht="20.25" customHeight="1" x14ac:dyDescent="0.2">
      <c r="A2173" s="15"/>
    </row>
    <row r="2174" spans="1:1" ht="20.25" customHeight="1" x14ac:dyDescent="0.2">
      <c r="A2174" s="15"/>
    </row>
    <row r="2175" spans="1:1" ht="20.25" customHeight="1" x14ac:dyDescent="0.2">
      <c r="A2175" s="15"/>
    </row>
    <row r="2176" spans="1:1" ht="20.25" customHeight="1" x14ac:dyDescent="0.2">
      <c r="A2176" s="15"/>
    </row>
    <row r="2177" spans="1:1" ht="20.25" customHeight="1" x14ac:dyDescent="0.2">
      <c r="A2177" s="15"/>
    </row>
    <row r="2178" spans="1:1" ht="20.25" customHeight="1" x14ac:dyDescent="0.2">
      <c r="A2178" s="15"/>
    </row>
    <row r="2179" spans="1:1" ht="20.25" customHeight="1" x14ac:dyDescent="0.2">
      <c r="A2179" s="15"/>
    </row>
    <row r="2180" spans="1:1" ht="20.25" customHeight="1" x14ac:dyDescent="0.2">
      <c r="A2180" s="15"/>
    </row>
    <row r="2181" spans="1:1" ht="20.25" customHeight="1" x14ac:dyDescent="0.2">
      <c r="A2181" s="15"/>
    </row>
    <row r="2182" spans="1:1" ht="20.25" customHeight="1" x14ac:dyDescent="0.2">
      <c r="A2182" s="15"/>
    </row>
    <row r="2183" spans="1:1" ht="20.25" customHeight="1" x14ac:dyDescent="0.2">
      <c r="A2183" s="15"/>
    </row>
    <row r="2184" spans="1:1" ht="20.25" customHeight="1" x14ac:dyDescent="0.2">
      <c r="A2184" s="15"/>
    </row>
    <row r="2185" spans="1:1" ht="20.25" customHeight="1" x14ac:dyDescent="0.2">
      <c r="A2185" s="15"/>
    </row>
    <row r="2186" spans="1:1" ht="20.25" customHeight="1" x14ac:dyDescent="0.2">
      <c r="A2186" s="15"/>
    </row>
    <row r="2187" spans="1:1" ht="20.25" customHeight="1" x14ac:dyDescent="0.2">
      <c r="A2187" s="15"/>
    </row>
    <row r="2188" spans="1:1" ht="20.25" customHeight="1" x14ac:dyDescent="0.2">
      <c r="A2188" s="15"/>
    </row>
    <row r="2189" spans="1:1" ht="20.25" customHeight="1" x14ac:dyDescent="0.2">
      <c r="A2189" s="15"/>
    </row>
    <row r="2190" spans="1:1" ht="20.25" customHeight="1" x14ac:dyDescent="0.2">
      <c r="A2190" s="15"/>
    </row>
    <row r="2191" spans="1:1" ht="20.25" customHeight="1" x14ac:dyDescent="0.2">
      <c r="A2191" s="15"/>
    </row>
    <row r="2192" spans="1:1" ht="20.25" customHeight="1" x14ac:dyDescent="0.2">
      <c r="A2192" s="15"/>
    </row>
    <row r="2193" spans="1:1" ht="20.25" customHeight="1" x14ac:dyDescent="0.2">
      <c r="A2193" s="15"/>
    </row>
    <row r="2194" spans="1:1" ht="20.25" customHeight="1" x14ac:dyDescent="0.2">
      <c r="A2194" s="15"/>
    </row>
    <row r="2195" spans="1:1" ht="20.25" customHeight="1" x14ac:dyDescent="0.2">
      <c r="A2195" s="15"/>
    </row>
    <row r="2196" spans="1:1" ht="20.25" customHeight="1" x14ac:dyDescent="0.2">
      <c r="A2196" s="15"/>
    </row>
    <row r="2197" spans="1:1" ht="20.25" customHeight="1" x14ac:dyDescent="0.2">
      <c r="A2197" s="15"/>
    </row>
    <row r="2198" spans="1:1" ht="20.25" customHeight="1" x14ac:dyDescent="0.2">
      <c r="A2198" s="15"/>
    </row>
    <row r="2199" spans="1:1" ht="20.25" customHeight="1" x14ac:dyDescent="0.2">
      <c r="A2199" s="15"/>
    </row>
    <row r="2200" spans="1:1" ht="20.25" customHeight="1" x14ac:dyDescent="0.2">
      <c r="A2200" s="15"/>
    </row>
    <row r="2201" spans="1:1" ht="20.25" customHeight="1" x14ac:dyDescent="0.2">
      <c r="A2201" s="15"/>
    </row>
    <row r="2202" spans="1:1" ht="20.25" customHeight="1" x14ac:dyDescent="0.2">
      <c r="A2202" s="15"/>
    </row>
    <row r="2203" spans="1:1" ht="20.25" customHeight="1" x14ac:dyDescent="0.2">
      <c r="A2203" s="15"/>
    </row>
    <row r="2204" spans="1:1" ht="20.25" customHeight="1" x14ac:dyDescent="0.2">
      <c r="A2204" s="15"/>
    </row>
    <row r="2205" spans="1:1" ht="20.25" customHeight="1" x14ac:dyDescent="0.2">
      <c r="A2205" s="15"/>
    </row>
    <row r="2206" spans="1:1" ht="20.25" customHeight="1" x14ac:dyDescent="0.2">
      <c r="A2206" s="15"/>
    </row>
    <row r="2207" spans="1:1" ht="20.25" customHeight="1" x14ac:dyDescent="0.2">
      <c r="A2207" s="15"/>
    </row>
    <row r="2208" spans="1:1" ht="20.25" customHeight="1" x14ac:dyDescent="0.2">
      <c r="A2208" s="15"/>
    </row>
    <row r="2209" spans="1:1" ht="20.25" customHeight="1" x14ac:dyDescent="0.2">
      <c r="A2209" s="15"/>
    </row>
    <row r="2210" spans="1:1" ht="20.25" customHeight="1" x14ac:dyDescent="0.2">
      <c r="A2210" s="15"/>
    </row>
    <row r="2211" spans="1:1" ht="20.25" customHeight="1" x14ac:dyDescent="0.2">
      <c r="A2211" s="15"/>
    </row>
    <row r="2212" spans="1:1" ht="20.25" customHeight="1" x14ac:dyDescent="0.2">
      <c r="A2212" s="15"/>
    </row>
    <row r="2213" spans="1:1" ht="20.25" customHeight="1" x14ac:dyDescent="0.2">
      <c r="A2213" s="15"/>
    </row>
    <row r="2214" spans="1:1" ht="20.25" customHeight="1" x14ac:dyDescent="0.2">
      <c r="A2214" s="15"/>
    </row>
    <row r="2215" spans="1:1" ht="20.25" customHeight="1" x14ac:dyDescent="0.2">
      <c r="A2215" s="15"/>
    </row>
    <row r="2216" spans="1:1" ht="20.25" customHeight="1" x14ac:dyDescent="0.2">
      <c r="A2216" s="15"/>
    </row>
    <row r="2217" spans="1:1" ht="20.25" customHeight="1" x14ac:dyDescent="0.2">
      <c r="A2217" s="15"/>
    </row>
    <row r="2218" spans="1:1" ht="20.25" customHeight="1" x14ac:dyDescent="0.2">
      <c r="A2218" s="15"/>
    </row>
    <row r="2219" spans="1:1" ht="20.25" customHeight="1" x14ac:dyDescent="0.2">
      <c r="A2219" s="15"/>
    </row>
    <row r="2220" spans="1:1" ht="20.25" customHeight="1" x14ac:dyDescent="0.2">
      <c r="A2220" s="15"/>
    </row>
    <row r="2221" spans="1:1" ht="20.25" customHeight="1" x14ac:dyDescent="0.2">
      <c r="A2221" s="15"/>
    </row>
    <row r="2222" spans="1:1" ht="20.25" customHeight="1" x14ac:dyDescent="0.2">
      <c r="A2222" s="15"/>
    </row>
    <row r="2223" spans="1:1" ht="20.25" customHeight="1" x14ac:dyDescent="0.2">
      <c r="A2223" s="15"/>
    </row>
    <row r="2224" spans="1:1" ht="20.25" customHeight="1" x14ac:dyDescent="0.2">
      <c r="A2224" s="15"/>
    </row>
    <row r="2225" spans="1:1" ht="20.25" customHeight="1" x14ac:dyDescent="0.2">
      <c r="A2225" s="15"/>
    </row>
    <row r="2226" spans="1:1" ht="20.25" customHeight="1" x14ac:dyDescent="0.2">
      <c r="A2226" s="15"/>
    </row>
    <row r="2227" spans="1:1" ht="20.25" customHeight="1" x14ac:dyDescent="0.2">
      <c r="A2227" s="15"/>
    </row>
    <row r="2228" spans="1:1" ht="20.25" customHeight="1" x14ac:dyDescent="0.2">
      <c r="A2228" s="15"/>
    </row>
    <row r="2229" spans="1:1" ht="20.25" customHeight="1" x14ac:dyDescent="0.2">
      <c r="A2229" s="15"/>
    </row>
    <row r="2230" spans="1:1" ht="20.25" customHeight="1" x14ac:dyDescent="0.2">
      <c r="A2230" s="15"/>
    </row>
    <row r="2231" spans="1:1" ht="20.25" customHeight="1" x14ac:dyDescent="0.2">
      <c r="A2231" s="15"/>
    </row>
    <row r="2232" spans="1:1" ht="20.25" customHeight="1" x14ac:dyDescent="0.2">
      <c r="A2232" s="15"/>
    </row>
    <row r="2233" spans="1:1" ht="20.25" customHeight="1" x14ac:dyDescent="0.2">
      <c r="A2233" s="15"/>
    </row>
    <row r="2234" spans="1:1" ht="20.25" customHeight="1" x14ac:dyDescent="0.2">
      <c r="A2234" s="15"/>
    </row>
    <row r="2235" spans="1:1" ht="20.25" customHeight="1" x14ac:dyDescent="0.2">
      <c r="A2235" s="15"/>
    </row>
    <row r="2236" spans="1:1" ht="20.25" customHeight="1" x14ac:dyDescent="0.2">
      <c r="A2236" s="15"/>
    </row>
    <row r="2237" spans="1:1" ht="20.25" customHeight="1" x14ac:dyDescent="0.2">
      <c r="A2237" s="15"/>
    </row>
    <row r="2238" spans="1:1" ht="20.25" customHeight="1" x14ac:dyDescent="0.2">
      <c r="A2238" s="15"/>
    </row>
    <row r="2239" spans="1:1" ht="20.25" customHeight="1" x14ac:dyDescent="0.2">
      <c r="A2239" s="15"/>
    </row>
    <row r="2240" spans="1:1" ht="20.25" customHeight="1" x14ac:dyDescent="0.2">
      <c r="A2240" s="15"/>
    </row>
    <row r="2241" spans="1:1" ht="20.25" customHeight="1" x14ac:dyDescent="0.2">
      <c r="A2241" s="15"/>
    </row>
    <row r="2242" spans="1:1" ht="20.25" customHeight="1" x14ac:dyDescent="0.2">
      <c r="A2242" s="15"/>
    </row>
    <row r="2243" spans="1:1" ht="20.25" customHeight="1" x14ac:dyDescent="0.2">
      <c r="A2243" s="15"/>
    </row>
    <row r="2244" spans="1:1" ht="20.25" customHeight="1" x14ac:dyDescent="0.2">
      <c r="A2244" s="15"/>
    </row>
    <row r="2245" spans="1:1" ht="20.25" customHeight="1" x14ac:dyDescent="0.2">
      <c r="A2245" s="15"/>
    </row>
    <row r="2246" spans="1:1" ht="20.25" customHeight="1" x14ac:dyDescent="0.2">
      <c r="A2246" s="15"/>
    </row>
    <row r="2247" spans="1:1" ht="20.25" customHeight="1" x14ac:dyDescent="0.2">
      <c r="A2247" s="15"/>
    </row>
    <row r="2248" spans="1:1" ht="20.25" customHeight="1" x14ac:dyDescent="0.2">
      <c r="A2248" s="15"/>
    </row>
    <row r="2249" spans="1:1" ht="20.25" customHeight="1" x14ac:dyDescent="0.2">
      <c r="A2249" s="15"/>
    </row>
    <row r="2250" spans="1:1" ht="20.25" customHeight="1" x14ac:dyDescent="0.2">
      <c r="A2250" s="15"/>
    </row>
    <row r="2251" spans="1:1" ht="20.25" customHeight="1" x14ac:dyDescent="0.2">
      <c r="A2251" s="15"/>
    </row>
    <row r="2252" spans="1:1" ht="20.25" customHeight="1" x14ac:dyDescent="0.2">
      <c r="A2252" s="15"/>
    </row>
    <row r="2253" spans="1:1" ht="20.25" customHeight="1" x14ac:dyDescent="0.2">
      <c r="A2253" s="15"/>
    </row>
    <row r="2254" spans="1:1" ht="20.25" customHeight="1" x14ac:dyDescent="0.2">
      <c r="A2254" s="15"/>
    </row>
    <row r="2255" spans="1:1" ht="20.25" customHeight="1" x14ac:dyDescent="0.2">
      <c r="A2255" s="15"/>
    </row>
    <row r="2256" spans="1:1" ht="20.25" customHeight="1" x14ac:dyDescent="0.2">
      <c r="A2256" s="15"/>
    </row>
    <row r="2257" spans="1:1" ht="20.25" customHeight="1" x14ac:dyDescent="0.2">
      <c r="A2257" s="15"/>
    </row>
    <row r="2258" spans="1:1" ht="20.25" customHeight="1" x14ac:dyDescent="0.2">
      <c r="A2258" s="15"/>
    </row>
    <row r="2259" spans="1:1" ht="20.25" customHeight="1" x14ac:dyDescent="0.2">
      <c r="A2259" s="15"/>
    </row>
    <row r="2260" spans="1:1" ht="20.25" customHeight="1" x14ac:dyDescent="0.2">
      <c r="A2260" s="15"/>
    </row>
    <row r="2261" spans="1:1" ht="20.25" customHeight="1" x14ac:dyDescent="0.2">
      <c r="A2261" s="15"/>
    </row>
    <row r="2262" spans="1:1" ht="20.25" customHeight="1" x14ac:dyDescent="0.2">
      <c r="A2262" s="15"/>
    </row>
    <row r="2263" spans="1:1" ht="20.25" customHeight="1" x14ac:dyDescent="0.2">
      <c r="A2263" s="15"/>
    </row>
    <row r="2264" spans="1:1" ht="20.25" customHeight="1" x14ac:dyDescent="0.2">
      <c r="A2264" s="15"/>
    </row>
    <row r="2265" spans="1:1" ht="20.25" customHeight="1" x14ac:dyDescent="0.2">
      <c r="A2265" s="15"/>
    </row>
    <row r="2266" spans="1:1" ht="20.25" customHeight="1" x14ac:dyDescent="0.2">
      <c r="A2266" s="15"/>
    </row>
    <row r="2267" spans="1:1" ht="20.25" customHeight="1" x14ac:dyDescent="0.2">
      <c r="A2267" s="15"/>
    </row>
    <row r="2268" spans="1:1" ht="20.25" customHeight="1" x14ac:dyDescent="0.2">
      <c r="A2268" s="15"/>
    </row>
    <row r="2269" spans="1:1" ht="20.25" customHeight="1" x14ac:dyDescent="0.2">
      <c r="A2269" s="15"/>
    </row>
    <row r="2270" spans="1:1" ht="20.25" customHeight="1" x14ac:dyDescent="0.2">
      <c r="A2270" s="15"/>
    </row>
    <row r="2271" spans="1:1" ht="20.25" customHeight="1" x14ac:dyDescent="0.2">
      <c r="A2271" s="15"/>
    </row>
    <row r="2272" spans="1:1" ht="20.25" customHeight="1" x14ac:dyDescent="0.2">
      <c r="A2272" s="15"/>
    </row>
    <row r="2273" spans="1:1" ht="20.25" customHeight="1" x14ac:dyDescent="0.2">
      <c r="A2273" s="15"/>
    </row>
    <row r="2274" spans="1:1" ht="20.25" customHeight="1" x14ac:dyDescent="0.2">
      <c r="A2274" s="15"/>
    </row>
    <row r="2275" spans="1:1" ht="20.25" customHeight="1" x14ac:dyDescent="0.2">
      <c r="A2275" s="15"/>
    </row>
    <row r="2276" spans="1:1" ht="20.25" customHeight="1" x14ac:dyDescent="0.2">
      <c r="A2276" s="15"/>
    </row>
    <row r="2277" spans="1:1" ht="20.25" customHeight="1" x14ac:dyDescent="0.2">
      <c r="A2277" s="15"/>
    </row>
    <row r="2278" spans="1:1" ht="20.25" customHeight="1" x14ac:dyDescent="0.2">
      <c r="A2278" s="15"/>
    </row>
    <row r="2279" spans="1:1" ht="20.25" customHeight="1" x14ac:dyDescent="0.2">
      <c r="A2279" s="15"/>
    </row>
    <row r="2280" spans="1:1" ht="20.25" customHeight="1" x14ac:dyDescent="0.2">
      <c r="A2280" s="15"/>
    </row>
    <row r="2281" spans="1:1" ht="20.25" customHeight="1" x14ac:dyDescent="0.2">
      <c r="A2281" s="15"/>
    </row>
    <row r="2282" spans="1:1" ht="20.25" customHeight="1" x14ac:dyDescent="0.2">
      <c r="A2282" s="15"/>
    </row>
    <row r="2283" spans="1:1" ht="20.25" customHeight="1" x14ac:dyDescent="0.2">
      <c r="A2283" s="15"/>
    </row>
    <row r="2284" spans="1:1" ht="20.25" customHeight="1" x14ac:dyDescent="0.2">
      <c r="A2284" s="15"/>
    </row>
    <row r="2285" spans="1:1" ht="20.25" customHeight="1" x14ac:dyDescent="0.2">
      <c r="A2285" s="15"/>
    </row>
    <row r="2286" spans="1:1" ht="20.25" customHeight="1" x14ac:dyDescent="0.2">
      <c r="A2286" s="15"/>
    </row>
    <row r="2287" spans="1:1" ht="20.25" customHeight="1" x14ac:dyDescent="0.2">
      <c r="A2287" s="15"/>
    </row>
    <row r="2288" spans="1:1" ht="20.25" customHeight="1" x14ac:dyDescent="0.2">
      <c r="A2288" s="15"/>
    </row>
    <row r="2289" spans="1:1" ht="20.25" customHeight="1" x14ac:dyDescent="0.2">
      <c r="A2289" s="15"/>
    </row>
    <row r="2290" spans="1:1" ht="20.25" customHeight="1" x14ac:dyDescent="0.2">
      <c r="A2290" s="15"/>
    </row>
    <row r="2291" spans="1:1" ht="20.25" customHeight="1" x14ac:dyDescent="0.2">
      <c r="A2291" s="15"/>
    </row>
    <row r="2292" spans="1:1" ht="20.25" customHeight="1" x14ac:dyDescent="0.2">
      <c r="A2292" s="15"/>
    </row>
    <row r="2293" spans="1:1" ht="20.25" customHeight="1" x14ac:dyDescent="0.2">
      <c r="A2293" s="15"/>
    </row>
    <row r="2294" spans="1:1" ht="20.25" customHeight="1" x14ac:dyDescent="0.2">
      <c r="A2294" s="15"/>
    </row>
    <row r="2295" spans="1:1" ht="20.25" customHeight="1" x14ac:dyDescent="0.2">
      <c r="A2295" s="15"/>
    </row>
    <row r="2296" spans="1:1" ht="20.25" customHeight="1" x14ac:dyDescent="0.2">
      <c r="A2296" s="15"/>
    </row>
    <row r="2297" spans="1:1" ht="20.25" customHeight="1" x14ac:dyDescent="0.2">
      <c r="A2297" s="15"/>
    </row>
    <row r="2298" spans="1:1" ht="20.25" customHeight="1" x14ac:dyDescent="0.2">
      <c r="A2298" s="15"/>
    </row>
    <row r="2299" spans="1:1" ht="20.25" customHeight="1" x14ac:dyDescent="0.2">
      <c r="A2299" s="15"/>
    </row>
    <row r="2300" spans="1:1" ht="20.25" customHeight="1" x14ac:dyDescent="0.2">
      <c r="A2300" s="15"/>
    </row>
    <row r="2301" spans="1:1" ht="20.25" customHeight="1" x14ac:dyDescent="0.2">
      <c r="A2301" s="15"/>
    </row>
    <row r="2302" spans="1:1" ht="20.25" customHeight="1" x14ac:dyDescent="0.2">
      <c r="A2302" s="15"/>
    </row>
    <row r="2303" spans="1:1" ht="20.25" customHeight="1" x14ac:dyDescent="0.2">
      <c r="A2303" s="15"/>
    </row>
    <row r="2304" spans="1:1" ht="20.25" customHeight="1" x14ac:dyDescent="0.2">
      <c r="A2304" s="15"/>
    </row>
    <row r="2305" spans="1:1" ht="20.25" customHeight="1" x14ac:dyDescent="0.2">
      <c r="A2305" s="15"/>
    </row>
    <row r="2306" spans="1:1" ht="20.25" customHeight="1" x14ac:dyDescent="0.2">
      <c r="A2306" s="15"/>
    </row>
    <row r="2307" spans="1:1" ht="20.25" customHeight="1" x14ac:dyDescent="0.2">
      <c r="A2307" s="15"/>
    </row>
    <row r="2308" spans="1:1" ht="20.25" customHeight="1" x14ac:dyDescent="0.2">
      <c r="A2308" s="15"/>
    </row>
    <row r="2309" spans="1:1" ht="20.25" customHeight="1" x14ac:dyDescent="0.2">
      <c r="A2309" s="15"/>
    </row>
    <row r="2310" spans="1:1" ht="20.25" customHeight="1" x14ac:dyDescent="0.2">
      <c r="A2310" s="15"/>
    </row>
    <row r="2311" spans="1:1" ht="20.25" customHeight="1" x14ac:dyDescent="0.2">
      <c r="A2311" s="15"/>
    </row>
    <row r="2312" spans="1:1" ht="20.25" customHeight="1" x14ac:dyDescent="0.2">
      <c r="A2312" s="15"/>
    </row>
    <row r="2313" spans="1:1" ht="20.25" customHeight="1" x14ac:dyDescent="0.2">
      <c r="A2313" s="15"/>
    </row>
    <row r="2314" spans="1:1" ht="20.25" customHeight="1" x14ac:dyDescent="0.2">
      <c r="A2314" s="15"/>
    </row>
    <row r="2315" spans="1:1" ht="20.25" customHeight="1" x14ac:dyDescent="0.2">
      <c r="A2315" s="15"/>
    </row>
    <row r="2316" spans="1:1" ht="20.25" customHeight="1" x14ac:dyDescent="0.2">
      <c r="A2316" s="15"/>
    </row>
    <row r="2317" spans="1:1" ht="20.25" customHeight="1" x14ac:dyDescent="0.2">
      <c r="A2317" s="15"/>
    </row>
    <row r="2318" spans="1:1" ht="20.25" customHeight="1" x14ac:dyDescent="0.2">
      <c r="A2318" s="15"/>
    </row>
    <row r="2319" spans="1:1" ht="20.25" customHeight="1" x14ac:dyDescent="0.2">
      <c r="A2319" s="15"/>
    </row>
    <row r="2320" spans="1:1" ht="20.25" customHeight="1" x14ac:dyDescent="0.2">
      <c r="A2320" s="15"/>
    </row>
    <row r="2321" spans="1:1" ht="20.25" customHeight="1" x14ac:dyDescent="0.2">
      <c r="A2321" s="15"/>
    </row>
    <row r="2322" spans="1:1" ht="20.25" customHeight="1" x14ac:dyDescent="0.2">
      <c r="A2322" s="15"/>
    </row>
    <row r="2323" spans="1:1" ht="20.25" customHeight="1" x14ac:dyDescent="0.2">
      <c r="A2323" s="15"/>
    </row>
    <row r="2324" spans="1:1" ht="20.25" customHeight="1" x14ac:dyDescent="0.2">
      <c r="A2324" s="15"/>
    </row>
    <row r="2325" spans="1:1" ht="20.25" customHeight="1" x14ac:dyDescent="0.2">
      <c r="A2325" s="15"/>
    </row>
    <row r="2326" spans="1:1" ht="20.25" customHeight="1" x14ac:dyDescent="0.2">
      <c r="A2326" s="15"/>
    </row>
    <row r="2327" spans="1:1" ht="20.25" customHeight="1" x14ac:dyDescent="0.2">
      <c r="A2327" s="15"/>
    </row>
    <row r="2328" spans="1:1" ht="20.25" customHeight="1" x14ac:dyDescent="0.2">
      <c r="A2328" s="15"/>
    </row>
    <row r="2329" spans="1:1" ht="20.25" customHeight="1" x14ac:dyDescent="0.2">
      <c r="A2329" s="15"/>
    </row>
    <row r="2330" spans="1:1" ht="20.25" customHeight="1" x14ac:dyDescent="0.2">
      <c r="A2330" s="15"/>
    </row>
    <row r="2331" spans="1:1" ht="20.25" customHeight="1" x14ac:dyDescent="0.2">
      <c r="A2331" s="15"/>
    </row>
    <row r="2332" spans="1:1" ht="20.25" customHeight="1" x14ac:dyDescent="0.2">
      <c r="A2332" s="15"/>
    </row>
    <row r="2333" spans="1:1" ht="20.25" customHeight="1" x14ac:dyDescent="0.2">
      <c r="A2333" s="15"/>
    </row>
    <row r="2334" spans="1:1" ht="20.25" customHeight="1" x14ac:dyDescent="0.2">
      <c r="A2334" s="15"/>
    </row>
    <row r="2335" spans="1:1" ht="20.25" customHeight="1" x14ac:dyDescent="0.2">
      <c r="A2335" s="15"/>
    </row>
    <row r="2336" spans="1:1" ht="20.25" customHeight="1" x14ac:dyDescent="0.2">
      <c r="A2336" s="15"/>
    </row>
    <row r="2337" spans="1:1" ht="20.25" customHeight="1" x14ac:dyDescent="0.2">
      <c r="A2337" s="15"/>
    </row>
    <row r="2338" spans="1:1" ht="20.25" customHeight="1" x14ac:dyDescent="0.2">
      <c r="A2338" s="15"/>
    </row>
    <row r="2339" spans="1:1" ht="20.25" customHeight="1" x14ac:dyDescent="0.2">
      <c r="A2339" s="15"/>
    </row>
    <row r="2340" spans="1:1" ht="20.25" customHeight="1" x14ac:dyDescent="0.2">
      <c r="A2340" s="15"/>
    </row>
    <row r="2341" spans="1:1" ht="20.25" customHeight="1" x14ac:dyDescent="0.2">
      <c r="A2341" s="15"/>
    </row>
    <row r="2342" spans="1:1" ht="20.25" customHeight="1" x14ac:dyDescent="0.2">
      <c r="A2342" s="15"/>
    </row>
    <row r="2343" spans="1:1" ht="20.25" customHeight="1" x14ac:dyDescent="0.2">
      <c r="A2343" s="15"/>
    </row>
    <row r="2344" spans="1:1" ht="20.25" customHeight="1" x14ac:dyDescent="0.2">
      <c r="A2344" s="15"/>
    </row>
    <row r="2345" spans="1:1" ht="20.25" customHeight="1" x14ac:dyDescent="0.2">
      <c r="A2345" s="15"/>
    </row>
    <row r="2346" spans="1:1" ht="20.25" customHeight="1" x14ac:dyDescent="0.2">
      <c r="A2346" s="15"/>
    </row>
    <row r="2347" spans="1:1" ht="20.25" customHeight="1" x14ac:dyDescent="0.2">
      <c r="A2347" s="15"/>
    </row>
    <row r="2348" spans="1:1" ht="20.25" customHeight="1" x14ac:dyDescent="0.2">
      <c r="A2348" s="15"/>
    </row>
    <row r="2349" spans="1:1" ht="20.25" customHeight="1" x14ac:dyDescent="0.2">
      <c r="A2349" s="15"/>
    </row>
    <row r="2350" spans="1:1" ht="20.25" customHeight="1" x14ac:dyDescent="0.2">
      <c r="A2350" s="15"/>
    </row>
    <row r="2351" spans="1:1" ht="20.25" customHeight="1" x14ac:dyDescent="0.2">
      <c r="A2351" s="15"/>
    </row>
    <row r="2352" spans="1:1" ht="20.25" customHeight="1" x14ac:dyDescent="0.2">
      <c r="A2352" s="15"/>
    </row>
    <row r="2353" spans="1:1" ht="20.25" customHeight="1" x14ac:dyDescent="0.2">
      <c r="A2353" s="15"/>
    </row>
    <row r="2354" spans="1:1" ht="20.25" customHeight="1" x14ac:dyDescent="0.2">
      <c r="A2354" s="15"/>
    </row>
    <row r="2355" spans="1:1" ht="20.25" customHeight="1" x14ac:dyDescent="0.2">
      <c r="A2355" s="15"/>
    </row>
    <row r="2356" spans="1:1" ht="20.25" customHeight="1" x14ac:dyDescent="0.2">
      <c r="A2356" s="15"/>
    </row>
    <row r="2357" spans="1:1" ht="20.25" customHeight="1" x14ac:dyDescent="0.2">
      <c r="A2357" s="15"/>
    </row>
    <row r="2358" spans="1:1" ht="20.25" customHeight="1" x14ac:dyDescent="0.2">
      <c r="A2358" s="15"/>
    </row>
    <row r="2359" spans="1:1" ht="20.25" customHeight="1" x14ac:dyDescent="0.2">
      <c r="A2359" s="15"/>
    </row>
    <row r="2360" spans="1:1" ht="20.25" customHeight="1" x14ac:dyDescent="0.2">
      <c r="A2360" s="15"/>
    </row>
    <row r="2361" spans="1:1" ht="20.25" customHeight="1" x14ac:dyDescent="0.2">
      <c r="A2361" s="15"/>
    </row>
    <row r="2362" spans="1:1" ht="20.25" customHeight="1" x14ac:dyDescent="0.2">
      <c r="A2362" s="15"/>
    </row>
    <row r="2363" spans="1:1" ht="20.25" customHeight="1" x14ac:dyDescent="0.2">
      <c r="A2363" s="15"/>
    </row>
    <row r="2364" spans="1:1" ht="20.25" customHeight="1" x14ac:dyDescent="0.2">
      <c r="A2364" s="15"/>
    </row>
    <row r="2365" spans="1:1" ht="20.25" customHeight="1" x14ac:dyDescent="0.2">
      <c r="A2365" s="15"/>
    </row>
    <row r="2366" spans="1:1" ht="20.25" customHeight="1" x14ac:dyDescent="0.2">
      <c r="A2366" s="15"/>
    </row>
    <row r="2367" spans="1:1" ht="20.25" customHeight="1" x14ac:dyDescent="0.2">
      <c r="A2367" s="15"/>
    </row>
    <row r="2368" spans="1:1" ht="20.25" customHeight="1" x14ac:dyDescent="0.2">
      <c r="A2368" s="15"/>
    </row>
    <row r="2369" spans="1:1" ht="20.25" customHeight="1" x14ac:dyDescent="0.2">
      <c r="A2369" s="15"/>
    </row>
    <row r="2370" spans="1:1" ht="20.25" customHeight="1" x14ac:dyDescent="0.2">
      <c r="A2370" s="15"/>
    </row>
    <row r="2371" spans="1:1" ht="20.25" customHeight="1" x14ac:dyDescent="0.2">
      <c r="A2371" s="15"/>
    </row>
    <row r="2372" spans="1:1" ht="20.25" customHeight="1" x14ac:dyDescent="0.2">
      <c r="A2372" s="15"/>
    </row>
    <row r="2373" spans="1:1" ht="20.25" customHeight="1" x14ac:dyDescent="0.2">
      <c r="A2373" s="15"/>
    </row>
    <row r="2374" spans="1:1" ht="20.25" customHeight="1" x14ac:dyDescent="0.2">
      <c r="A2374" s="15"/>
    </row>
    <row r="2375" spans="1:1" ht="20.25" customHeight="1" x14ac:dyDescent="0.2">
      <c r="A2375" s="15"/>
    </row>
    <row r="2376" spans="1:1" ht="20.25" customHeight="1" x14ac:dyDescent="0.2">
      <c r="A2376" s="15"/>
    </row>
    <row r="2377" spans="1:1" ht="20.25" customHeight="1" x14ac:dyDescent="0.2">
      <c r="A2377" s="15"/>
    </row>
    <row r="2378" spans="1:1" ht="20.25" customHeight="1" x14ac:dyDescent="0.2">
      <c r="A2378" s="15"/>
    </row>
    <row r="2379" spans="1:1" ht="20.25" customHeight="1" x14ac:dyDescent="0.2">
      <c r="A2379" s="15"/>
    </row>
    <row r="2380" spans="1:1" ht="20.25" customHeight="1" x14ac:dyDescent="0.2">
      <c r="A2380" s="15"/>
    </row>
    <row r="2381" spans="1:1" ht="20.25" customHeight="1" x14ac:dyDescent="0.2">
      <c r="A2381" s="15"/>
    </row>
    <row r="2382" spans="1:1" ht="20.25" customHeight="1" x14ac:dyDescent="0.2">
      <c r="A2382" s="15"/>
    </row>
    <row r="2383" spans="1:1" ht="20.25" customHeight="1" x14ac:dyDescent="0.2">
      <c r="A2383" s="15"/>
    </row>
    <row r="2384" spans="1:1" ht="20.25" customHeight="1" x14ac:dyDescent="0.2">
      <c r="A2384" s="15"/>
    </row>
    <row r="2385" spans="1:1" ht="20.25" customHeight="1" x14ac:dyDescent="0.2">
      <c r="A2385" s="15"/>
    </row>
    <row r="2386" spans="1:1" ht="20.25" customHeight="1" x14ac:dyDescent="0.2">
      <c r="A2386" s="15"/>
    </row>
    <row r="2387" spans="1:1" ht="20.25" customHeight="1" x14ac:dyDescent="0.2">
      <c r="A2387" s="15"/>
    </row>
    <row r="2388" spans="1:1" ht="20.25" customHeight="1" x14ac:dyDescent="0.2">
      <c r="A2388" s="15"/>
    </row>
    <row r="2389" spans="1:1" ht="20.25" customHeight="1" x14ac:dyDescent="0.2">
      <c r="A2389" s="15"/>
    </row>
    <row r="2390" spans="1:1" ht="20.25" customHeight="1" x14ac:dyDescent="0.2">
      <c r="A2390" s="15"/>
    </row>
    <row r="2391" spans="1:1" ht="20.25" customHeight="1" x14ac:dyDescent="0.2">
      <c r="A2391" s="15"/>
    </row>
    <row r="2392" spans="1:1" ht="20.25" customHeight="1" x14ac:dyDescent="0.2">
      <c r="A2392" s="15"/>
    </row>
    <row r="2393" spans="1:1" ht="20.25" customHeight="1" x14ac:dyDescent="0.2">
      <c r="A2393" s="15"/>
    </row>
    <row r="2394" spans="1:1" ht="20.25" customHeight="1" x14ac:dyDescent="0.2">
      <c r="A2394" s="15"/>
    </row>
    <row r="2395" spans="1:1" ht="20.25" customHeight="1" x14ac:dyDescent="0.2">
      <c r="A2395" s="15"/>
    </row>
    <row r="2396" spans="1:1" ht="20.25" customHeight="1" x14ac:dyDescent="0.2">
      <c r="A2396" s="15"/>
    </row>
    <row r="2397" spans="1:1" ht="20.25" customHeight="1" x14ac:dyDescent="0.2">
      <c r="A2397" s="15"/>
    </row>
    <row r="2398" spans="1:1" ht="20.25" customHeight="1" x14ac:dyDescent="0.2">
      <c r="A2398" s="15"/>
    </row>
    <row r="2399" spans="1:1" ht="20.25" customHeight="1" x14ac:dyDescent="0.2">
      <c r="A2399" s="15"/>
    </row>
    <row r="2400" spans="1:1" ht="20.25" customHeight="1" x14ac:dyDescent="0.2">
      <c r="A2400" s="15"/>
    </row>
    <row r="2401" spans="1:1" ht="20.25" customHeight="1" x14ac:dyDescent="0.2">
      <c r="A2401" s="15"/>
    </row>
    <row r="2402" spans="1:1" ht="20.25" customHeight="1" x14ac:dyDescent="0.2">
      <c r="A2402" s="15"/>
    </row>
    <row r="2403" spans="1:1" ht="20.25" customHeight="1" x14ac:dyDescent="0.2">
      <c r="A2403" s="15"/>
    </row>
    <row r="2404" spans="1:1" ht="20.25" customHeight="1" x14ac:dyDescent="0.2">
      <c r="A2404" s="15"/>
    </row>
    <row r="2405" spans="1:1" ht="20.25" customHeight="1" x14ac:dyDescent="0.2">
      <c r="A2405" s="15"/>
    </row>
    <row r="2406" spans="1:1" ht="20.25" customHeight="1" x14ac:dyDescent="0.2">
      <c r="A2406" s="15"/>
    </row>
    <row r="2407" spans="1:1" ht="20.25" customHeight="1" x14ac:dyDescent="0.2">
      <c r="A2407" s="15"/>
    </row>
    <row r="2408" spans="1:1" ht="20.25" customHeight="1" x14ac:dyDescent="0.2">
      <c r="A2408" s="15"/>
    </row>
    <row r="2409" spans="1:1" ht="20.25" customHeight="1" x14ac:dyDescent="0.2">
      <c r="A2409" s="15"/>
    </row>
    <row r="2410" spans="1:1" ht="20.25" customHeight="1" x14ac:dyDescent="0.2">
      <c r="A2410" s="15"/>
    </row>
    <row r="2411" spans="1:1" ht="20.25" customHeight="1" x14ac:dyDescent="0.2">
      <c r="A2411" s="15"/>
    </row>
    <row r="2412" spans="1:1" ht="20.25" customHeight="1" x14ac:dyDescent="0.2">
      <c r="A2412" s="15"/>
    </row>
    <row r="2413" spans="1:1" ht="20.25" customHeight="1" x14ac:dyDescent="0.2">
      <c r="A2413" s="15"/>
    </row>
    <row r="2414" spans="1:1" ht="20.25" customHeight="1" x14ac:dyDescent="0.2">
      <c r="A2414" s="15"/>
    </row>
    <row r="2415" spans="1:1" ht="20.25" customHeight="1" x14ac:dyDescent="0.2">
      <c r="A2415" s="15"/>
    </row>
    <row r="2416" spans="1:1" ht="20.25" customHeight="1" x14ac:dyDescent="0.2">
      <c r="A2416" s="15"/>
    </row>
    <row r="2417" spans="1:1" ht="20.25" customHeight="1" x14ac:dyDescent="0.2">
      <c r="A2417" s="15"/>
    </row>
    <row r="2418" spans="1:1" ht="20.25" customHeight="1" x14ac:dyDescent="0.2">
      <c r="A2418" s="15"/>
    </row>
    <row r="2419" spans="1:1" ht="20.25" customHeight="1" x14ac:dyDescent="0.2">
      <c r="A2419" s="15"/>
    </row>
    <row r="2420" spans="1:1" ht="20.25" customHeight="1" x14ac:dyDescent="0.2">
      <c r="A2420" s="15"/>
    </row>
    <row r="2421" spans="1:1" ht="20.25" customHeight="1" x14ac:dyDescent="0.2">
      <c r="A2421" s="15"/>
    </row>
    <row r="2422" spans="1:1" ht="20.25" customHeight="1" x14ac:dyDescent="0.2">
      <c r="A2422" s="15"/>
    </row>
    <row r="2423" spans="1:1" ht="20.25" customHeight="1" x14ac:dyDescent="0.2">
      <c r="A2423" s="15"/>
    </row>
    <row r="2424" spans="1:1" ht="20.25" customHeight="1" x14ac:dyDescent="0.2">
      <c r="A2424" s="15"/>
    </row>
    <row r="2425" spans="1:1" ht="20.25" customHeight="1" x14ac:dyDescent="0.2">
      <c r="A2425" s="15"/>
    </row>
    <row r="2426" spans="1:1" ht="20.25" customHeight="1" x14ac:dyDescent="0.2">
      <c r="A2426" s="15"/>
    </row>
    <row r="2427" spans="1:1" ht="20.25" customHeight="1" x14ac:dyDescent="0.2">
      <c r="A2427" s="15"/>
    </row>
    <row r="2428" spans="1:1" ht="20.25" customHeight="1" x14ac:dyDescent="0.2">
      <c r="A2428" s="15"/>
    </row>
    <row r="2429" spans="1:1" ht="20.25" customHeight="1" x14ac:dyDescent="0.2">
      <c r="A2429" s="15"/>
    </row>
    <row r="2430" spans="1:1" ht="20.25" customHeight="1" x14ac:dyDescent="0.2">
      <c r="A2430" s="15"/>
    </row>
    <row r="2431" spans="1:1" ht="20.25" customHeight="1" x14ac:dyDescent="0.2">
      <c r="A2431" s="15"/>
    </row>
    <row r="2432" spans="1:1" ht="20.25" customHeight="1" x14ac:dyDescent="0.2">
      <c r="A2432" s="15"/>
    </row>
    <row r="2433" spans="1:1" ht="20.25" customHeight="1" x14ac:dyDescent="0.2">
      <c r="A2433" s="15"/>
    </row>
    <row r="2434" spans="1:1" ht="20.25" customHeight="1" x14ac:dyDescent="0.2">
      <c r="A2434" s="15"/>
    </row>
    <row r="2435" spans="1:1" ht="20.25" customHeight="1" x14ac:dyDescent="0.2">
      <c r="A2435" s="15"/>
    </row>
    <row r="2436" spans="1:1" ht="20.25" customHeight="1" x14ac:dyDescent="0.2">
      <c r="A2436" s="15"/>
    </row>
    <row r="2437" spans="1:1" ht="20.25" customHeight="1" x14ac:dyDescent="0.2">
      <c r="A2437" s="15"/>
    </row>
    <row r="2438" spans="1:1" ht="20.25" customHeight="1" x14ac:dyDescent="0.2">
      <c r="A2438" s="15"/>
    </row>
    <row r="2439" spans="1:1" ht="20.25" customHeight="1" x14ac:dyDescent="0.2">
      <c r="A2439" s="15"/>
    </row>
    <row r="2440" spans="1:1" ht="20.25" customHeight="1" x14ac:dyDescent="0.2">
      <c r="A2440" s="15"/>
    </row>
    <row r="2441" spans="1:1" ht="20.25" customHeight="1" x14ac:dyDescent="0.2">
      <c r="A2441" s="15"/>
    </row>
    <row r="2442" spans="1:1" ht="20.25" customHeight="1" x14ac:dyDescent="0.2">
      <c r="A2442" s="15"/>
    </row>
    <row r="2443" spans="1:1" ht="20.25" customHeight="1" x14ac:dyDescent="0.2">
      <c r="A2443" s="15"/>
    </row>
    <row r="2444" spans="1:1" ht="20.25" customHeight="1" x14ac:dyDescent="0.2">
      <c r="A2444" s="15"/>
    </row>
    <row r="2445" spans="1:1" ht="20.25" customHeight="1" x14ac:dyDescent="0.2">
      <c r="A2445" s="15"/>
    </row>
    <row r="2446" spans="1:1" ht="20.25" customHeight="1" x14ac:dyDescent="0.2">
      <c r="A2446" s="15"/>
    </row>
    <row r="2447" spans="1:1" ht="20.25" customHeight="1" x14ac:dyDescent="0.2">
      <c r="A2447" s="15"/>
    </row>
    <row r="2448" spans="1:1" ht="20.25" customHeight="1" x14ac:dyDescent="0.2">
      <c r="A2448" s="15"/>
    </row>
    <row r="2449" spans="1:1" ht="20.25" customHeight="1" x14ac:dyDescent="0.2">
      <c r="A2449" s="15"/>
    </row>
    <row r="2450" spans="1:1" ht="20.25" customHeight="1" x14ac:dyDescent="0.2">
      <c r="A2450" s="15"/>
    </row>
    <row r="2451" spans="1:1" ht="20.25" customHeight="1" x14ac:dyDescent="0.2">
      <c r="A2451" s="15"/>
    </row>
    <row r="2452" spans="1:1" ht="20.25" customHeight="1" x14ac:dyDescent="0.2">
      <c r="A2452" s="15"/>
    </row>
    <row r="2453" spans="1:1" ht="20.25" customHeight="1" x14ac:dyDescent="0.2">
      <c r="A2453" s="15"/>
    </row>
    <row r="2454" spans="1:1" ht="20.25" customHeight="1" x14ac:dyDescent="0.2">
      <c r="A2454" s="15"/>
    </row>
    <row r="2455" spans="1:1" ht="20.25" customHeight="1" x14ac:dyDescent="0.2">
      <c r="A2455" s="15"/>
    </row>
    <row r="2456" spans="1:1" ht="20.25" customHeight="1" x14ac:dyDescent="0.2">
      <c r="A2456" s="15"/>
    </row>
    <row r="2457" spans="1:1" ht="20.25" customHeight="1" x14ac:dyDescent="0.2">
      <c r="A2457" s="15"/>
    </row>
    <row r="2458" spans="1:1" ht="20.25" customHeight="1" x14ac:dyDescent="0.2">
      <c r="A2458" s="15"/>
    </row>
    <row r="2459" spans="1:1" ht="20.25" customHeight="1" x14ac:dyDescent="0.2">
      <c r="A2459" s="15"/>
    </row>
    <row r="2460" spans="1:1" ht="20.25" customHeight="1" x14ac:dyDescent="0.2">
      <c r="A2460" s="15"/>
    </row>
    <row r="2461" spans="1:1" ht="20.25" customHeight="1" x14ac:dyDescent="0.2">
      <c r="A2461" s="15"/>
    </row>
    <row r="2462" spans="1:1" ht="20.25" customHeight="1" x14ac:dyDescent="0.2">
      <c r="A2462" s="15"/>
    </row>
    <row r="2463" spans="1:1" ht="20.25" customHeight="1" x14ac:dyDescent="0.2">
      <c r="A2463" s="15"/>
    </row>
    <row r="2464" spans="1:1" ht="20.25" customHeight="1" x14ac:dyDescent="0.2">
      <c r="A2464" s="15"/>
    </row>
    <row r="2465" spans="1:1" ht="20.25" customHeight="1" x14ac:dyDescent="0.2">
      <c r="A2465" s="15"/>
    </row>
    <row r="2466" spans="1:1" ht="20.25" customHeight="1" x14ac:dyDescent="0.2">
      <c r="A2466" s="15"/>
    </row>
    <row r="2467" spans="1:1" ht="20.25" customHeight="1" x14ac:dyDescent="0.2">
      <c r="A2467" s="15"/>
    </row>
    <row r="2468" spans="1:1" ht="20.25" customHeight="1" x14ac:dyDescent="0.2">
      <c r="A2468" s="15"/>
    </row>
    <row r="2469" spans="1:1" ht="20.25" customHeight="1" x14ac:dyDescent="0.2">
      <c r="A2469" s="15"/>
    </row>
    <row r="2470" spans="1:1" ht="20.25" customHeight="1" x14ac:dyDescent="0.2">
      <c r="A2470" s="15"/>
    </row>
    <row r="2471" spans="1:1" ht="20.25" customHeight="1" x14ac:dyDescent="0.2">
      <c r="A2471" s="15"/>
    </row>
    <row r="2472" spans="1:1" ht="20.25" customHeight="1" x14ac:dyDescent="0.2">
      <c r="A2472" s="15"/>
    </row>
    <row r="2473" spans="1:1" ht="20.25" customHeight="1" x14ac:dyDescent="0.2">
      <c r="A2473" s="15"/>
    </row>
    <row r="2474" spans="1:1" ht="20.25" customHeight="1" x14ac:dyDescent="0.2">
      <c r="A2474" s="15"/>
    </row>
    <row r="2475" spans="1:1" ht="20.25" customHeight="1" x14ac:dyDescent="0.2">
      <c r="A2475" s="15"/>
    </row>
    <row r="2476" spans="1:1" ht="20.25" customHeight="1" x14ac:dyDescent="0.2">
      <c r="A2476" s="15"/>
    </row>
    <row r="2477" spans="1:1" ht="20.25" customHeight="1" x14ac:dyDescent="0.2">
      <c r="A2477" s="15"/>
    </row>
    <row r="2478" spans="1:1" ht="20.25" customHeight="1" x14ac:dyDescent="0.2">
      <c r="A2478" s="15"/>
    </row>
    <row r="2479" spans="1:1" ht="20.25" customHeight="1" x14ac:dyDescent="0.2">
      <c r="A2479" s="15"/>
    </row>
    <row r="2480" spans="1:1" ht="20.25" customHeight="1" x14ac:dyDescent="0.2">
      <c r="A2480" s="15"/>
    </row>
    <row r="2481" spans="1:1" ht="20.25" customHeight="1" x14ac:dyDescent="0.2">
      <c r="A2481" s="15"/>
    </row>
    <row r="2482" spans="1:1" ht="20.25" customHeight="1" x14ac:dyDescent="0.2">
      <c r="A2482" s="15"/>
    </row>
    <row r="2483" spans="1:1" ht="20.25" customHeight="1" x14ac:dyDescent="0.2">
      <c r="A2483" s="15"/>
    </row>
    <row r="2484" spans="1:1" ht="20.25" customHeight="1" x14ac:dyDescent="0.2">
      <c r="A2484" s="15"/>
    </row>
    <row r="2485" spans="1:1" ht="20.25" customHeight="1" x14ac:dyDescent="0.2">
      <c r="A2485" s="15"/>
    </row>
    <row r="2486" spans="1:1" ht="20.25" customHeight="1" x14ac:dyDescent="0.2">
      <c r="A2486" s="15"/>
    </row>
    <row r="2487" spans="1:1" ht="20.25" customHeight="1" x14ac:dyDescent="0.2">
      <c r="A2487" s="15"/>
    </row>
    <row r="2488" spans="1:1" ht="20.25" customHeight="1" x14ac:dyDescent="0.2">
      <c r="A2488" s="15"/>
    </row>
    <row r="2489" spans="1:1" ht="20.25" customHeight="1" x14ac:dyDescent="0.2">
      <c r="A2489" s="15"/>
    </row>
    <row r="2490" spans="1:1" ht="20.25" customHeight="1" x14ac:dyDescent="0.2">
      <c r="A2490" s="15"/>
    </row>
    <row r="2491" spans="1:1" ht="20.25" customHeight="1" x14ac:dyDescent="0.2">
      <c r="A2491" s="15"/>
    </row>
    <row r="2492" spans="1:1" ht="20.25" customHeight="1" x14ac:dyDescent="0.2">
      <c r="A2492" s="15"/>
    </row>
    <row r="2493" spans="1:1" ht="20.25" customHeight="1" x14ac:dyDescent="0.2">
      <c r="A2493" s="15"/>
    </row>
    <row r="2494" spans="1:1" ht="20.25" customHeight="1" x14ac:dyDescent="0.2">
      <c r="A2494" s="15"/>
    </row>
    <row r="2495" spans="1:1" ht="20.25" customHeight="1" x14ac:dyDescent="0.2">
      <c r="A2495" s="15"/>
    </row>
    <row r="2496" spans="1:1" ht="20.25" customHeight="1" x14ac:dyDescent="0.2">
      <c r="A2496" s="15"/>
    </row>
    <row r="2497" spans="1:1" ht="20.25" customHeight="1" x14ac:dyDescent="0.2">
      <c r="A2497" s="15"/>
    </row>
    <row r="2498" spans="1:1" ht="20.25" customHeight="1" x14ac:dyDescent="0.2">
      <c r="A2498" s="15"/>
    </row>
    <row r="2499" spans="1:1" ht="20.25" customHeight="1" x14ac:dyDescent="0.2">
      <c r="A2499" s="15"/>
    </row>
    <row r="2500" spans="1:1" ht="20.25" customHeight="1" x14ac:dyDescent="0.2">
      <c r="A2500" s="15"/>
    </row>
    <row r="2501" spans="1:1" ht="20.25" customHeight="1" x14ac:dyDescent="0.2">
      <c r="A2501" s="15"/>
    </row>
    <row r="2502" spans="1:1" ht="20.25" customHeight="1" x14ac:dyDescent="0.2">
      <c r="A2502" s="15"/>
    </row>
    <row r="2503" spans="1:1" ht="20.25" customHeight="1" x14ac:dyDescent="0.2">
      <c r="A2503" s="15"/>
    </row>
    <row r="2504" spans="1:1" ht="20.25" customHeight="1" x14ac:dyDescent="0.2">
      <c r="A2504" s="15"/>
    </row>
    <row r="2505" spans="1:1" ht="20.25" customHeight="1" x14ac:dyDescent="0.2">
      <c r="A2505" s="15"/>
    </row>
    <row r="2506" spans="1:1" ht="20.25" customHeight="1" x14ac:dyDescent="0.2">
      <c r="A2506" s="15"/>
    </row>
    <row r="2507" spans="1:1" ht="20.25" customHeight="1" x14ac:dyDescent="0.2">
      <c r="A2507" s="15"/>
    </row>
    <row r="2508" spans="1:1" ht="20.25" customHeight="1" x14ac:dyDescent="0.2">
      <c r="A2508" s="15"/>
    </row>
    <row r="2509" spans="1:1" ht="20.25" customHeight="1" x14ac:dyDescent="0.2">
      <c r="A2509" s="15"/>
    </row>
    <row r="2510" spans="1:1" ht="20.25" customHeight="1" x14ac:dyDescent="0.2">
      <c r="A2510" s="15"/>
    </row>
    <row r="2511" spans="1:1" ht="20.25" customHeight="1" x14ac:dyDescent="0.2">
      <c r="A2511" s="15"/>
    </row>
    <row r="2512" spans="1:1" ht="20.25" customHeight="1" x14ac:dyDescent="0.2">
      <c r="A2512" s="15"/>
    </row>
    <row r="2513" spans="1:1" ht="20.25" customHeight="1" x14ac:dyDescent="0.2">
      <c r="A2513" s="15"/>
    </row>
    <row r="2514" spans="1:1" ht="20.25" customHeight="1" x14ac:dyDescent="0.2">
      <c r="A2514" s="15"/>
    </row>
    <row r="2515" spans="1:1" ht="20.25" customHeight="1" x14ac:dyDescent="0.2">
      <c r="A2515" s="15"/>
    </row>
    <row r="2516" spans="1:1" ht="20.25" customHeight="1" x14ac:dyDescent="0.2">
      <c r="A2516" s="15"/>
    </row>
    <row r="2517" spans="1:1" ht="20.25" customHeight="1" x14ac:dyDescent="0.2">
      <c r="A2517" s="15"/>
    </row>
    <row r="2518" spans="1:1" ht="20.25" customHeight="1" x14ac:dyDescent="0.2">
      <c r="A2518" s="15"/>
    </row>
    <row r="2519" spans="1:1" ht="20.25" customHeight="1" x14ac:dyDescent="0.2">
      <c r="A2519" s="15"/>
    </row>
    <row r="2520" spans="1:1" ht="20.25" customHeight="1" x14ac:dyDescent="0.2">
      <c r="A2520" s="15"/>
    </row>
    <row r="2521" spans="1:1" ht="20.25" customHeight="1" x14ac:dyDescent="0.2">
      <c r="A2521" s="15"/>
    </row>
    <row r="2522" spans="1:1" ht="20.25" customHeight="1" x14ac:dyDescent="0.2">
      <c r="A2522" s="15"/>
    </row>
    <row r="2523" spans="1:1" ht="20.25" customHeight="1" x14ac:dyDescent="0.2">
      <c r="A2523" s="15"/>
    </row>
    <row r="2524" spans="1:1" ht="20.25" customHeight="1" x14ac:dyDescent="0.2">
      <c r="A2524" s="15"/>
    </row>
    <row r="2525" spans="1:1" ht="20.25" customHeight="1" x14ac:dyDescent="0.2">
      <c r="A2525" s="15"/>
    </row>
    <row r="2526" spans="1:1" ht="20.25" customHeight="1" x14ac:dyDescent="0.2">
      <c r="A2526" s="15"/>
    </row>
    <row r="2527" spans="1:1" ht="20.25" customHeight="1" x14ac:dyDescent="0.2">
      <c r="A2527" s="15"/>
    </row>
    <row r="2528" spans="1:1" ht="20.25" customHeight="1" x14ac:dyDescent="0.2">
      <c r="A2528" s="15"/>
    </row>
    <row r="2529" spans="1:1" ht="20.25" customHeight="1" x14ac:dyDescent="0.2">
      <c r="A2529" s="15"/>
    </row>
    <row r="2530" spans="1:1" ht="20.25" customHeight="1" x14ac:dyDescent="0.2">
      <c r="A2530" s="15"/>
    </row>
    <row r="2531" spans="1:1" ht="20.25" customHeight="1" x14ac:dyDescent="0.2">
      <c r="A2531" s="15"/>
    </row>
    <row r="2532" spans="1:1" ht="20.25" customHeight="1" x14ac:dyDescent="0.2">
      <c r="A2532" s="15"/>
    </row>
    <row r="2533" spans="1:1" ht="20.25" customHeight="1" x14ac:dyDescent="0.2">
      <c r="A2533" s="15"/>
    </row>
    <row r="2534" spans="1:1" ht="20.25" customHeight="1" x14ac:dyDescent="0.2">
      <c r="A2534" s="15"/>
    </row>
    <row r="2535" spans="1:1" ht="20.25" customHeight="1" x14ac:dyDescent="0.2">
      <c r="A2535" s="15"/>
    </row>
    <row r="2536" spans="1:1" ht="20.25" customHeight="1" x14ac:dyDescent="0.2">
      <c r="A2536" s="15"/>
    </row>
    <row r="2537" spans="1:1" ht="20.25" customHeight="1" x14ac:dyDescent="0.2">
      <c r="A2537" s="15"/>
    </row>
    <row r="2538" spans="1:1" ht="20.25" customHeight="1" x14ac:dyDescent="0.2">
      <c r="A2538" s="15"/>
    </row>
    <row r="2539" spans="1:1" ht="20.25" customHeight="1" x14ac:dyDescent="0.2">
      <c r="A2539" s="15"/>
    </row>
    <row r="2540" spans="1:1" ht="20.25" customHeight="1" x14ac:dyDescent="0.2">
      <c r="A2540" s="15"/>
    </row>
    <row r="2541" spans="1:1" ht="20.25" customHeight="1" x14ac:dyDescent="0.2">
      <c r="A2541" s="15"/>
    </row>
    <row r="2542" spans="1:1" ht="20.25" customHeight="1" x14ac:dyDescent="0.2">
      <c r="A2542" s="15"/>
    </row>
    <row r="2543" spans="1:1" ht="20.25" customHeight="1" x14ac:dyDescent="0.2">
      <c r="A2543" s="15"/>
    </row>
    <row r="2544" spans="1:1" ht="20.25" customHeight="1" x14ac:dyDescent="0.2">
      <c r="A2544" s="15"/>
    </row>
    <row r="2545" spans="1:1" ht="20.25" customHeight="1" x14ac:dyDescent="0.2">
      <c r="A2545" s="15"/>
    </row>
    <row r="2546" spans="1:1" ht="20.25" customHeight="1" x14ac:dyDescent="0.2">
      <c r="A2546" s="15"/>
    </row>
    <row r="2547" spans="1:1" ht="20.25" customHeight="1" x14ac:dyDescent="0.2">
      <c r="A2547" s="15"/>
    </row>
    <row r="2548" spans="1:1" ht="20.25" customHeight="1" x14ac:dyDescent="0.2">
      <c r="A2548" s="15"/>
    </row>
    <row r="2549" spans="1:1" ht="20.25" customHeight="1" x14ac:dyDescent="0.2">
      <c r="A2549" s="15"/>
    </row>
    <row r="2550" spans="1:1" ht="20.25" customHeight="1" x14ac:dyDescent="0.2">
      <c r="A2550" s="15"/>
    </row>
    <row r="2551" spans="1:1" ht="20.25" customHeight="1" x14ac:dyDescent="0.2">
      <c r="A2551" s="15"/>
    </row>
    <row r="2552" spans="1:1" ht="20.25" customHeight="1" x14ac:dyDescent="0.2">
      <c r="A2552" s="15"/>
    </row>
    <row r="2553" spans="1:1" ht="20.25" customHeight="1" x14ac:dyDescent="0.2">
      <c r="A2553" s="15"/>
    </row>
    <row r="2554" spans="1:1" ht="20.25" customHeight="1" x14ac:dyDescent="0.2">
      <c r="A2554" s="15"/>
    </row>
    <row r="2555" spans="1:1" ht="20.25" customHeight="1" x14ac:dyDescent="0.2">
      <c r="A2555" s="15"/>
    </row>
    <row r="2556" spans="1:1" ht="20.25" customHeight="1" x14ac:dyDescent="0.2">
      <c r="A2556" s="15"/>
    </row>
    <row r="2557" spans="1:1" ht="20.25" customHeight="1" x14ac:dyDescent="0.2">
      <c r="A2557" s="15"/>
    </row>
    <row r="2558" spans="1:1" ht="20.25" customHeight="1" x14ac:dyDescent="0.2">
      <c r="A2558" s="15"/>
    </row>
    <row r="2559" spans="1:1" ht="20.25" customHeight="1" x14ac:dyDescent="0.2">
      <c r="A2559" s="15"/>
    </row>
    <row r="2560" spans="1:1" ht="20.25" customHeight="1" x14ac:dyDescent="0.2">
      <c r="A2560" s="15"/>
    </row>
    <row r="2561" spans="1:1" ht="20.25" customHeight="1" x14ac:dyDescent="0.2">
      <c r="A2561" s="15"/>
    </row>
    <row r="2562" spans="1:1" ht="20.25" customHeight="1" x14ac:dyDescent="0.2">
      <c r="A2562" s="15"/>
    </row>
    <row r="2563" spans="1:1" ht="20.25" customHeight="1" x14ac:dyDescent="0.2">
      <c r="A2563" s="15"/>
    </row>
    <row r="2564" spans="1:1" ht="20.25" customHeight="1" x14ac:dyDescent="0.2">
      <c r="A2564" s="15"/>
    </row>
    <row r="2565" spans="1:1" ht="20.25" customHeight="1" x14ac:dyDescent="0.2">
      <c r="A2565" s="15"/>
    </row>
    <row r="2566" spans="1:1" ht="20.25" customHeight="1" x14ac:dyDescent="0.2">
      <c r="A2566" s="15"/>
    </row>
    <row r="2567" spans="1:1" ht="20.25" customHeight="1" x14ac:dyDescent="0.2">
      <c r="A2567" s="15"/>
    </row>
  </sheetData>
  <mergeCells count="10">
    <mergeCell ref="L3:L4"/>
    <mergeCell ref="C903:D904"/>
    <mergeCell ref="A2:L2"/>
    <mergeCell ref="A1:L1"/>
    <mergeCell ref="A3:A4"/>
    <mergeCell ref="C3:D4"/>
    <mergeCell ref="E3:E4"/>
    <mergeCell ref="F3:F4"/>
    <mergeCell ref="G3:G4"/>
    <mergeCell ref="K3:K4"/>
  </mergeCells>
  <pageMargins left="0.15748031496062992" right="0.23622047244094491" top="0.47244094488188981" bottom="0.51181102362204722" header="0.31496062992125984" footer="0.15748031496062992"/>
  <pageSetup paperSize="9" orientation="portrait" verticalDpi="0" r:id="rId1"/>
  <headerFooter scaleWithDoc="0">
    <oddHeader>&amp;Rหน้าที่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I41" sqref="I41"/>
    </sheetView>
  </sheetViews>
  <sheetFormatPr defaultRowHeight="21" x14ac:dyDescent="0.2"/>
  <cols>
    <col min="1" max="2" width="12.85546875" style="557" customWidth="1"/>
    <col min="3" max="3" width="10.42578125" style="558" customWidth="1"/>
    <col min="4" max="4" width="2.28515625" style="559" customWidth="1"/>
    <col min="5" max="5" width="9.140625" style="558"/>
    <col min="6" max="16384" width="9.140625" style="557"/>
  </cols>
  <sheetData>
    <row r="1" spans="1:8" x14ac:dyDescent="0.2">
      <c r="A1" s="601" t="s">
        <v>5763</v>
      </c>
      <c r="B1" s="601"/>
      <c r="C1" s="601"/>
      <c r="D1" s="601"/>
      <c r="E1" s="601"/>
    </row>
    <row r="4" spans="1:8" x14ac:dyDescent="0.2">
      <c r="A4" s="601" t="s">
        <v>5728</v>
      </c>
      <c r="B4" s="601"/>
      <c r="C4" s="601"/>
      <c r="D4" s="601"/>
      <c r="E4" s="601"/>
    </row>
    <row r="6" spans="1:8" x14ac:dyDescent="0.2">
      <c r="A6" s="560" t="s">
        <v>5729</v>
      </c>
      <c r="B6" s="558" t="s">
        <v>5762</v>
      </c>
      <c r="C6" s="558">
        <v>1202</v>
      </c>
      <c r="D6" s="559" t="s">
        <v>5761</v>
      </c>
      <c r="E6" s="558">
        <v>1209</v>
      </c>
      <c r="H6" s="557" t="s">
        <v>5727</v>
      </c>
    </row>
    <row r="7" spans="1:8" x14ac:dyDescent="0.2">
      <c r="A7" s="560" t="s">
        <v>5730</v>
      </c>
      <c r="B7" s="558" t="s">
        <v>5762</v>
      </c>
      <c r="C7" s="558">
        <v>1210</v>
      </c>
      <c r="D7" s="559" t="s">
        <v>5761</v>
      </c>
      <c r="E7" s="558">
        <v>1217</v>
      </c>
    </row>
    <row r="8" spans="1:8" x14ac:dyDescent="0.2">
      <c r="A8" s="560" t="s">
        <v>5731</v>
      </c>
      <c r="B8" s="558" t="s">
        <v>5762</v>
      </c>
      <c r="C8" s="558">
        <v>1218</v>
      </c>
      <c r="D8" s="559" t="s">
        <v>5761</v>
      </c>
      <c r="E8" s="558">
        <v>1225</v>
      </c>
    </row>
    <row r="9" spans="1:8" x14ac:dyDescent="0.2">
      <c r="A9" s="560" t="s">
        <v>5732</v>
      </c>
      <c r="B9" s="558" t="s">
        <v>5762</v>
      </c>
      <c r="C9" s="558">
        <v>1226</v>
      </c>
      <c r="D9" s="559" t="s">
        <v>5761</v>
      </c>
      <c r="E9" s="558">
        <v>1233</v>
      </c>
    </row>
    <row r="10" spans="1:8" x14ac:dyDescent="0.2">
      <c r="A10" s="560" t="s">
        <v>5733</v>
      </c>
      <c r="B10" s="558" t="s">
        <v>5762</v>
      </c>
      <c r="C10" s="558">
        <v>1234</v>
      </c>
      <c r="D10" s="559" t="s">
        <v>5761</v>
      </c>
      <c r="E10" s="558">
        <v>1305</v>
      </c>
    </row>
    <row r="11" spans="1:8" x14ac:dyDescent="0.2">
      <c r="A11" s="560" t="s">
        <v>5734</v>
      </c>
      <c r="B11" s="558" t="s">
        <v>5762</v>
      </c>
      <c r="C11" s="558">
        <v>1306</v>
      </c>
      <c r="D11" s="559" t="s">
        <v>5761</v>
      </c>
      <c r="E11" s="558">
        <v>1313</v>
      </c>
    </row>
    <row r="12" spans="1:8" x14ac:dyDescent="0.2">
      <c r="A12" s="560" t="s">
        <v>5735</v>
      </c>
      <c r="B12" s="558" t="s">
        <v>5762</v>
      </c>
      <c r="C12" s="558">
        <v>1314</v>
      </c>
      <c r="D12" s="559" t="s">
        <v>5761</v>
      </c>
      <c r="E12" s="558">
        <v>1321</v>
      </c>
    </row>
    <row r="13" spans="1:8" x14ac:dyDescent="0.2">
      <c r="A13" s="560" t="s">
        <v>5736</v>
      </c>
      <c r="B13" s="558" t="s">
        <v>5762</v>
      </c>
      <c r="C13" s="558">
        <v>1322</v>
      </c>
      <c r="D13" s="559" t="s">
        <v>5761</v>
      </c>
      <c r="E13" s="558">
        <v>1329</v>
      </c>
    </row>
    <row r="14" spans="1:8" x14ac:dyDescent="0.2">
      <c r="A14" s="560" t="s">
        <v>5737</v>
      </c>
      <c r="B14" s="558" t="s">
        <v>5762</v>
      </c>
      <c r="C14" s="558">
        <v>1330</v>
      </c>
      <c r="D14" s="559" t="s">
        <v>5761</v>
      </c>
      <c r="E14" s="558">
        <v>1401</v>
      </c>
    </row>
    <row r="15" spans="1:8" x14ac:dyDescent="0.2">
      <c r="A15" s="560" t="s">
        <v>5738</v>
      </c>
      <c r="B15" s="558" t="s">
        <v>5762</v>
      </c>
      <c r="C15" s="558">
        <v>1402</v>
      </c>
      <c r="D15" s="559" t="s">
        <v>5761</v>
      </c>
      <c r="E15" s="558">
        <v>1409</v>
      </c>
    </row>
    <row r="16" spans="1:8" x14ac:dyDescent="0.2">
      <c r="A16" s="560" t="s">
        <v>5739</v>
      </c>
      <c r="B16" s="558" t="s">
        <v>5762</v>
      </c>
      <c r="C16" s="558">
        <v>1410</v>
      </c>
      <c r="D16" s="559" t="s">
        <v>5761</v>
      </c>
      <c r="E16" s="558">
        <v>1417</v>
      </c>
    </row>
    <row r="17" spans="1:5" x14ac:dyDescent="0.2">
      <c r="A17" s="560" t="s">
        <v>5740</v>
      </c>
      <c r="B17" s="558" t="s">
        <v>5762</v>
      </c>
      <c r="C17" s="558">
        <v>1418</v>
      </c>
      <c r="D17" s="559" t="s">
        <v>5761</v>
      </c>
      <c r="E17" s="558">
        <v>12425</v>
      </c>
    </row>
    <row r="18" spans="1:5" x14ac:dyDescent="0.2">
      <c r="A18" s="560" t="s">
        <v>5741</v>
      </c>
      <c r="B18" s="558" t="s">
        <v>5762</v>
      </c>
      <c r="C18" s="558">
        <v>1426</v>
      </c>
      <c r="D18" s="559" t="s">
        <v>5761</v>
      </c>
      <c r="E18" s="558">
        <v>1533</v>
      </c>
    </row>
    <row r="19" spans="1:5" x14ac:dyDescent="0.2">
      <c r="A19" s="560" t="s">
        <v>5742</v>
      </c>
      <c r="B19" s="558" t="s">
        <v>5762</v>
      </c>
      <c r="C19" s="558">
        <v>1534</v>
      </c>
      <c r="D19" s="559" t="s">
        <v>5761</v>
      </c>
      <c r="E19" s="558">
        <v>1505</v>
      </c>
    </row>
    <row r="20" spans="1:5" x14ac:dyDescent="0.2">
      <c r="A20" s="560" t="s">
        <v>5743</v>
      </c>
      <c r="B20" s="558" t="s">
        <v>5762</v>
      </c>
      <c r="C20" s="558">
        <v>1506</v>
      </c>
      <c r="D20" s="559" t="s">
        <v>5761</v>
      </c>
      <c r="E20" s="558">
        <v>1513</v>
      </c>
    </row>
    <row r="21" spans="1:5" x14ac:dyDescent="0.2">
      <c r="A21" s="560" t="s">
        <v>5744</v>
      </c>
      <c r="B21" s="558" t="s">
        <v>5762</v>
      </c>
      <c r="C21" s="558">
        <v>1514</v>
      </c>
      <c r="D21" s="559" t="s">
        <v>5761</v>
      </c>
      <c r="E21" s="558">
        <v>1522</v>
      </c>
    </row>
    <row r="22" spans="1:5" x14ac:dyDescent="0.2">
      <c r="A22" s="560" t="s">
        <v>5745</v>
      </c>
      <c r="B22" s="558" t="s">
        <v>5762</v>
      </c>
      <c r="C22" s="558">
        <v>1523</v>
      </c>
      <c r="D22" s="559" t="s">
        <v>5761</v>
      </c>
      <c r="E22" s="558">
        <v>1530</v>
      </c>
    </row>
    <row r="23" spans="1:5" x14ac:dyDescent="0.2">
      <c r="A23" s="560" t="s">
        <v>5746</v>
      </c>
      <c r="B23" s="558" t="s">
        <v>5762</v>
      </c>
      <c r="C23" s="558">
        <v>1531</v>
      </c>
      <c r="D23" s="559" t="s">
        <v>5761</v>
      </c>
      <c r="E23" s="558">
        <v>1602</v>
      </c>
    </row>
    <row r="24" spans="1:5" x14ac:dyDescent="0.2">
      <c r="A24" s="560" t="s">
        <v>5747</v>
      </c>
      <c r="B24" s="558" t="s">
        <v>5762</v>
      </c>
      <c r="C24" s="558">
        <v>1603</v>
      </c>
      <c r="D24" s="559" t="s">
        <v>5761</v>
      </c>
      <c r="E24" s="558">
        <v>1610</v>
      </c>
    </row>
    <row r="25" spans="1:5" x14ac:dyDescent="0.2">
      <c r="A25" s="560" t="s">
        <v>5748</v>
      </c>
      <c r="B25" s="558" t="s">
        <v>5762</v>
      </c>
      <c r="C25" s="558">
        <v>1611</v>
      </c>
      <c r="D25" s="559" t="s">
        <v>5761</v>
      </c>
      <c r="E25" s="558">
        <v>1618</v>
      </c>
    </row>
    <row r="26" spans="1:5" x14ac:dyDescent="0.2">
      <c r="A26" s="560" t="s">
        <v>5749</v>
      </c>
      <c r="B26" s="558" t="s">
        <v>5762</v>
      </c>
      <c r="C26" s="558">
        <v>1619</v>
      </c>
      <c r="D26" s="559" t="s">
        <v>5761</v>
      </c>
      <c r="E26" s="558">
        <v>1626</v>
      </c>
    </row>
    <row r="27" spans="1:5" x14ac:dyDescent="0.2">
      <c r="A27" s="560" t="s">
        <v>5750</v>
      </c>
      <c r="B27" s="558" t="s">
        <v>5762</v>
      </c>
      <c r="C27" s="558">
        <v>1627</v>
      </c>
      <c r="E27" s="558">
        <v>1634</v>
      </c>
    </row>
    <row r="28" spans="1:5" x14ac:dyDescent="0.2">
      <c r="A28" s="560" t="s">
        <v>5751</v>
      </c>
      <c r="B28" s="558" t="s">
        <v>5762</v>
      </c>
      <c r="C28" s="558">
        <v>1635</v>
      </c>
      <c r="D28" s="559" t="s">
        <v>5761</v>
      </c>
      <c r="E28" s="558">
        <v>1706</v>
      </c>
    </row>
    <row r="29" spans="1:5" x14ac:dyDescent="0.2">
      <c r="A29" s="560" t="s">
        <v>5752</v>
      </c>
      <c r="B29" s="558" t="s">
        <v>5762</v>
      </c>
      <c r="C29" s="558">
        <v>1707</v>
      </c>
      <c r="D29" s="559" t="s">
        <v>5761</v>
      </c>
      <c r="E29" s="558">
        <v>1714</v>
      </c>
    </row>
    <row r="30" spans="1:5" x14ac:dyDescent="0.2">
      <c r="A30" s="560" t="s">
        <v>5753</v>
      </c>
      <c r="B30" s="558" t="s">
        <v>5762</v>
      </c>
      <c r="C30" s="558">
        <v>1715</v>
      </c>
      <c r="D30" s="559" t="s">
        <v>5761</v>
      </c>
      <c r="E30" s="558">
        <v>1722</v>
      </c>
    </row>
    <row r="31" spans="1:5" x14ac:dyDescent="0.2">
      <c r="A31" s="560" t="s">
        <v>5754</v>
      </c>
      <c r="B31" s="558" t="s">
        <v>5762</v>
      </c>
      <c r="C31" s="558">
        <v>1723</v>
      </c>
      <c r="D31" s="559" t="s">
        <v>5761</v>
      </c>
      <c r="E31" s="558">
        <v>1730</v>
      </c>
    </row>
    <row r="32" spans="1:5" x14ac:dyDescent="0.2">
      <c r="A32" s="560" t="s">
        <v>5755</v>
      </c>
      <c r="B32" s="558" t="s">
        <v>5762</v>
      </c>
      <c r="C32" s="558">
        <v>1731</v>
      </c>
      <c r="D32" s="559" t="s">
        <v>5761</v>
      </c>
      <c r="E32" s="558">
        <v>1803</v>
      </c>
    </row>
    <row r="33" spans="1:5" x14ac:dyDescent="0.2">
      <c r="A33" s="560" t="s">
        <v>5756</v>
      </c>
      <c r="B33" s="558" t="s">
        <v>5762</v>
      </c>
      <c r="C33" s="558">
        <v>1804</v>
      </c>
      <c r="D33" s="559" t="s">
        <v>5761</v>
      </c>
      <c r="E33" s="558">
        <v>1811</v>
      </c>
    </row>
    <row r="34" spans="1:5" x14ac:dyDescent="0.2">
      <c r="A34" s="560" t="s">
        <v>5757</v>
      </c>
      <c r="B34" s="558" t="s">
        <v>5762</v>
      </c>
      <c r="C34" s="558">
        <v>1812</v>
      </c>
      <c r="D34" s="559" t="s">
        <v>5761</v>
      </c>
      <c r="E34" s="558">
        <v>1819</v>
      </c>
    </row>
    <row r="35" spans="1:5" x14ac:dyDescent="0.2">
      <c r="A35" s="560" t="s">
        <v>5758</v>
      </c>
      <c r="B35" s="558" t="s">
        <v>5762</v>
      </c>
      <c r="C35" s="558">
        <v>1820</v>
      </c>
      <c r="D35" s="559" t="s">
        <v>5761</v>
      </c>
      <c r="E35" s="558">
        <v>1827</v>
      </c>
    </row>
    <row r="36" spans="1:5" x14ac:dyDescent="0.2">
      <c r="A36" s="560" t="s">
        <v>5759</v>
      </c>
      <c r="B36" s="558" t="s">
        <v>5762</v>
      </c>
      <c r="C36" s="558">
        <v>128</v>
      </c>
      <c r="D36" s="559" t="s">
        <v>5761</v>
      </c>
      <c r="E36" s="558">
        <v>1835</v>
      </c>
    </row>
    <row r="37" spans="1:5" x14ac:dyDescent="0.2">
      <c r="A37" s="560" t="s">
        <v>5760</v>
      </c>
      <c r="B37" s="558" t="s">
        <v>5762</v>
      </c>
      <c r="C37" s="558">
        <v>1836</v>
      </c>
    </row>
    <row r="40" spans="1:5" x14ac:dyDescent="0.2">
      <c r="A40" s="601" t="s">
        <v>5003</v>
      </c>
      <c r="B40" s="601"/>
      <c r="C40" s="601"/>
      <c r="D40" s="601"/>
      <c r="E40" s="601"/>
    </row>
    <row r="42" spans="1:5" x14ac:dyDescent="0.2">
      <c r="A42" s="601" t="s">
        <v>5728</v>
      </c>
      <c r="B42" s="601"/>
      <c r="C42" s="601"/>
      <c r="D42" s="601"/>
      <c r="E42" s="601"/>
    </row>
    <row r="44" spans="1:5" x14ac:dyDescent="0.2">
      <c r="A44" s="560" t="s">
        <v>5729</v>
      </c>
      <c r="B44" s="558" t="s">
        <v>5762</v>
      </c>
      <c r="C44" s="558">
        <v>2202</v>
      </c>
      <c r="D44" s="559" t="s">
        <v>5761</v>
      </c>
      <c r="E44" s="558">
        <v>2209</v>
      </c>
    </row>
    <row r="45" spans="1:5" x14ac:dyDescent="0.2">
      <c r="A45" s="560" t="s">
        <v>5730</v>
      </c>
      <c r="B45" s="558" t="s">
        <v>5762</v>
      </c>
      <c r="C45" s="558">
        <v>2210</v>
      </c>
      <c r="D45" s="559" t="s">
        <v>5761</v>
      </c>
      <c r="E45" s="558">
        <v>2217</v>
      </c>
    </row>
    <row r="46" spans="1:5" x14ac:dyDescent="0.2">
      <c r="A46" s="560" t="s">
        <v>5731</v>
      </c>
      <c r="B46" s="558" t="s">
        <v>5762</v>
      </c>
      <c r="C46" s="558">
        <v>2218</v>
      </c>
      <c r="D46" s="559" t="s">
        <v>5761</v>
      </c>
      <c r="E46" s="558">
        <v>2225</v>
      </c>
    </row>
    <row r="47" spans="1:5" x14ac:dyDescent="0.2">
      <c r="A47" s="560" t="s">
        <v>5732</v>
      </c>
      <c r="B47" s="558" t="s">
        <v>5762</v>
      </c>
      <c r="C47" s="558">
        <v>2226</v>
      </c>
      <c r="D47" s="559" t="s">
        <v>5761</v>
      </c>
      <c r="E47" s="558">
        <v>2233</v>
      </c>
    </row>
    <row r="48" spans="1:5" x14ac:dyDescent="0.2">
      <c r="A48" s="560" t="s">
        <v>5733</v>
      </c>
      <c r="B48" s="558" t="s">
        <v>5762</v>
      </c>
      <c r="C48" s="558">
        <v>2234</v>
      </c>
      <c r="D48" s="559" t="s">
        <v>5761</v>
      </c>
      <c r="E48" s="558">
        <v>2305</v>
      </c>
    </row>
    <row r="49" spans="1:5" x14ac:dyDescent="0.2">
      <c r="A49" s="560" t="s">
        <v>5734</v>
      </c>
      <c r="B49" s="558" t="s">
        <v>5762</v>
      </c>
      <c r="C49" s="558">
        <v>2306</v>
      </c>
      <c r="D49" s="559" t="s">
        <v>5761</v>
      </c>
      <c r="E49" s="558">
        <v>2313</v>
      </c>
    </row>
    <row r="50" spans="1:5" x14ac:dyDescent="0.2">
      <c r="A50" s="560" t="s">
        <v>5735</v>
      </c>
      <c r="B50" s="558" t="s">
        <v>5762</v>
      </c>
      <c r="C50" s="558">
        <v>2314</v>
      </c>
      <c r="D50" s="559" t="s">
        <v>5761</v>
      </c>
      <c r="E50" s="558">
        <v>2321</v>
      </c>
    </row>
    <row r="51" spans="1:5" x14ac:dyDescent="0.2">
      <c r="A51" s="560" t="s">
        <v>5736</v>
      </c>
      <c r="B51" s="558" t="s">
        <v>5762</v>
      </c>
      <c r="C51" s="558">
        <v>2322</v>
      </c>
      <c r="D51" s="559" t="s">
        <v>5761</v>
      </c>
      <c r="E51" s="558">
        <v>2329</v>
      </c>
    </row>
    <row r="52" spans="1:5" x14ac:dyDescent="0.2">
      <c r="A52" s="560" t="s">
        <v>5737</v>
      </c>
      <c r="B52" s="558" t="s">
        <v>5762</v>
      </c>
      <c r="C52" s="558">
        <v>2330</v>
      </c>
      <c r="D52" s="559" t="s">
        <v>5761</v>
      </c>
      <c r="E52" s="558">
        <v>2401</v>
      </c>
    </row>
    <row r="53" spans="1:5" x14ac:dyDescent="0.2">
      <c r="A53" s="560" t="s">
        <v>5738</v>
      </c>
      <c r="B53" s="558" t="s">
        <v>5762</v>
      </c>
      <c r="C53" s="558">
        <v>2402</v>
      </c>
      <c r="D53" s="559" t="s">
        <v>5761</v>
      </c>
      <c r="E53" s="558">
        <v>2409</v>
      </c>
    </row>
    <row r="54" spans="1:5" x14ac:dyDescent="0.2">
      <c r="A54" s="560" t="s">
        <v>5739</v>
      </c>
      <c r="B54" s="558" t="s">
        <v>5762</v>
      </c>
      <c r="C54" s="558">
        <v>2410</v>
      </c>
      <c r="D54" s="559" t="s">
        <v>5761</v>
      </c>
      <c r="E54" s="558">
        <v>2417</v>
      </c>
    </row>
    <row r="55" spans="1:5" x14ac:dyDescent="0.2">
      <c r="A55" s="560" t="s">
        <v>5740</v>
      </c>
      <c r="B55" s="558" t="s">
        <v>5762</v>
      </c>
      <c r="C55" s="558">
        <v>2418</v>
      </c>
      <c r="D55" s="559" t="s">
        <v>5761</v>
      </c>
      <c r="E55" s="558">
        <v>2425</v>
      </c>
    </row>
    <row r="56" spans="1:5" x14ac:dyDescent="0.2">
      <c r="A56" s="560" t="s">
        <v>5741</v>
      </c>
      <c r="B56" s="558" t="s">
        <v>5762</v>
      </c>
      <c r="C56" s="558">
        <v>2426</v>
      </c>
      <c r="D56" s="559" t="s">
        <v>5761</v>
      </c>
      <c r="E56" s="558">
        <v>2533</v>
      </c>
    </row>
    <row r="57" spans="1:5" x14ac:dyDescent="0.2">
      <c r="A57" s="560" t="s">
        <v>5742</v>
      </c>
      <c r="B57" s="558" t="s">
        <v>5762</v>
      </c>
      <c r="C57" s="558">
        <v>2534</v>
      </c>
      <c r="D57" s="559" t="s">
        <v>5761</v>
      </c>
      <c r="E57" s="558">
        <v>2505</v>
      </c>
    </row>
    <row r="58" spans="1:5" x14ac:dyDescent="0.2">
      <c r="A58" s="560" t="s">
        <v>5743</v>
      </c>
      <c r="B58" s="558" t="s">
        <v>5762</v>
      </c>
      <c r="C58" s="558">
        <v>2506</v>
      </c>
      <c r="D58" s="559" t="s">
        <v>5761</v>
      </c>
      <c r="E58" s="558">
        <v>2513</v>
      </c>
    </row>
    <row r="59" spans="1:5" x14ac:dyDescent="0.2">
      <c r="A59" s="560" t="s">
        <v>5744</v>
      </c>
      <c r="B59" s="558" t="s">
        <v>5762</v>
      </c>
      <c r="C59" s="558">
        <v>2514</v>
      </c>
      <c r="D59" s="559" t="s">
        <v>5761</v>
      </c>
      <c r="E59" s="558">
        <v>2522</v>
      </c>
    </row>
    <row r="60" spans="1:5" x14ac:dyDescent="0.2">
      <c r="A60" s="560" t="s">
        <v>5745</v>
      </c>
      <c r="B60" s="558" t="s">
        <v>5762</v>
      </c>
      <c r="C60" s="558">
        <v>2523</v>
      </c>
      <c r="D60" s="559" t="s">
        <v>5761</v>
      </c>
      <c r="E60" s="558">
        <v>2530</v>
      </c>
    </row>
    <row r="61" spans="1:5" x14ac:dyDescent="0.2">
      <c r="A61" s="560" t="s">
        <v>5746</v>
      </c>
      <c r="B61" s="558" t="s">
        <v>5762</v>
      </c>
      <c r="C61" s="558">
        <v>2531</v>
      </c>
      <c r="D61" s="559" t="s">
        <v>5761</v>
      </c>
      <c r="E61" s="558">
        <v>2602</v>
      </c>
    </row>
    <row r="62" spans="1:5" x14ac:dyDescent="0.2">
      <c r="A62" s="560" t="s">
        <v>5747</v>
      </c>
      <c r="B62" s="558" t="s">
        <v>5762</v>
      </c>
      <c r="C62" s="558">
        <v>2603</v>
      </c>
      <c r="D62" s="559" t="s">
        <v>5761</v>
      </c>
      <c r="E62" s="558">
        <v>2610</v>
      </c>
    </row>
    <row r="63" spans="1:5" x14ac:dyDescent="0.2">
      <c r="A63" s="560" t="s">
        <v>5748</v>
      </c>
      <c r="B63" s="558" t="s">
        <v>5762</v>
      </c>
      <c r="C63" s="558">
        <v>2611</v>
      </c>
      <c r="D63" s="559" t="s">
        <v>5761</v>
      </c>
      <c r="E63" s="558">
        <v>2618</v>
      </c>
    </row>
    <row r="64" spans="1:5" x14ac:dyDescent="0.2">
      <c r="A64" s="560" t="s">
        <v>5749</v>
      </c>
      <c r="B64" s="558" t="s">
        <v>5762</v>
      </c>
      <c r="C64" s="558">
        <v>2619</v>
      </c>
      <c r="D64" s="559" t="s">
        <v>5761</v>
      </c>
      <c r="E64" s="558">
        <v>2626</v>
      </c>
    </row>
    <row r="65" spans="1:5" x14ac:dyDescent="0.2">
      <c r="A65" s="560" t="s">
        <v>5750</v>
      </c>
      <c r="B65" s="558" t="s">
        <v>5762</v>
      </c>
      <c r="C65" s="558">
        <v>2627</v>
      </c>
      <c r="E65" s="558">
        <v>2634</v>
      </c>
    </row>
    <row r="66" spans="1:5" x14ac:dyDescent="0.2">
      <c r="A66" s="560" t="s">
        <v>5751</v>
      </c>
      <c r="B66" s="558" t="s">
        <v>5762</v>
      </c>
      <c r="C66" s="558">
        <v>2635</v>
      </c>
      <c r="D66" s="559" t="s">
        <v>5761</v>
      </c>
      <c r="E66" s="558">
        <v>2706</v>
      </c>
    </row>
    <row r="67" spans="1:5" x14ac:dyDescent="0.2">
      <c r="A67" s="560" t="s">
        <v>5752</v>
      </c>
      <c r="B67" s="558" t="s">
        <v>5762</v>
      </c>
      <c r="C67" s="558">
        <v>2707</v>
      </c>
      <c r="D67" s="559" t="s">
        <v>5761</v>
      </c>
      <c r="E67" s="558">
        <v>2714</v>
      </c>
    </row>
    <row r="68" spans="1:5" x14ac:dyDescent="0.2">
      <c r="A68" s="560" t="s">
        <v>5753</v>
      </c>
      <c r="B68" s="558" t="s">
        <v>5762</v>
      </c>
      <c r="C68" s="558">
        <v>2715</v>
      </c>
      <c r="D68" s="559" t="s">
        <v>5761</v>
      </c>
      <c r="E68" s="558">
        <v>2722</v>
      </c>
    </row>
    <row r="69" spans="1:5" x14ac:dyDescent="0.2">
      <c r="A69" s="560" t="s">
        <v>5754</v>
      </c>
      <c r="B69" s="558" t="s">
        <v>5762</v>
      </c>
      <c r="C69" s="558">
        <v>2723</v>
      </c>
      <c r="D69" s="559" t="s">
        <v>5761</v>
      </c>
      <c r="E69" s="558">
        <v>2730</v>
      </c>
    </row>
    <row r="70" spans="1:5" x14ac:dyDescent="0.2">
      <c r="A70" s="560" t="s">
        <v>5755</v>
      </c>
      <c r="B70" s="558" t="s">
        <v>5762</v>
      </c>
      <c r="C70" s="558">
        <v>2731</v>
      </c>
      <c r="D70" s="559" t="s">
        <v>5761</v>
      </c>
      <c r="E70" s="558">
        <v>2803</v>
      </c>
    </row>
    <row r="71" spans="1:5" x14ac:dyDescent="0.2">
      <c r="A71" s="560" t="s">
        <v>5756</v>
      </c>
      <c r="B71" s="558" t="s">
        <v>5762</v>
      </c>
      <c r="C71" s="558">
        <v>2804</v>
      </c>
      <c r="D71" s="559" t="s">
        <v>5761</v>
      </c>
      <c r="E71" s="558">
        <v>2811</v>
      </c>
    </row>
    <row r="72" spans="1:5" x14ac:dyDescent="0.2">
      <c r="A72" s="560" t="s">
        <v>5757</v>
      </c>
      <c r="B72" s="558" t="s">
        <v>5762</v>
      </c>
      <c r="C72" s="558">
        <v>2812</v>
      </c>
      <c r="D72" s="559" t="s">
        <v>5761</v>
      </c>
      <c r="E72" s="558">
        <v>2819</v>
      </c>
    </row>
    <row r="73" spans="1:5" x14ac:dyDescent="0.2">
      <c r="A73" s="560" t="s">
        <v>5758</v>
      </c>
      <c r="B73" s="558" t="s">
        <v>5762</v>
      </c>
      <c r="C73" s="558">
        <v>2820</v>
      </c>
      <c r="D73" s="559" t="s">
        <v>5761</v>
      </c>
      <c r="E73" s="558">
        <v>2827</v>
      </c>
    </row>
    <row r="74" spans="1:5" x14ac:dyDescent="0.2">
      <c r="A74" s="560" t="s">
        <v>5759</v>
      </c>
      <c r="B74" s="558" t="s">
        <v>5762</v>
      </c>
      <c r="C74" s="558">
        <v>2828</v>
      </c>
      <c r="D74" s="559" t="s">
        <v>5761</v>
      </c>
      <c r="E74" s="558">
        <v>2835</v>
      </c>
    </row>
    <row r="75" spans="1:5" x14ac:dyDescent="0.2">
      <c r="A75" s="560" t="s">
        <v>5760</v>
      </c>
      <c r="B75" s="558" t="s">
        <v>5762</v>
      </c>
      <c r="C75" s="558">
        <v>2836</v>
      </c>
    </row>
  </sheetData>
  <mergeCells count="4">
    <mergeCell ref="A4:E4"/>
    <mergeCell ref="A42:E42"/>
    <mergeCell ref="A1:E1"/>
    <mergeCell ref="A40:E40"/>
  </mergeCells>
  <pageMargins left="1.84" right="0.34" top="0.47" bottom="0.23" header="0.48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หญิง</vt:lpstr>
      <vt:lpstr>ชาย</vt:lpstr>
      <vt:lpstr>Sheet1</vt:lpstr>
      <vt:lpstr>ชาย!Print_Titles</vt:lpstr>
      <vt:lpstr>หญิง!Print_Titles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user1</cp:lastModifiedBy>
  <cp:lastPrinted>2013-05-21T07:29:35Z</cp:lastPrinted>
  <dcterms:created xsi:type="dcterms:W3CDTF">2013-04-28T19:16:52Z</dcterms:created>
  <dcterms:modified xsi:type="dcterms:W3CDTF">2013-06-25T09:01:53Z</dcterms:modified>
</cp:coreProperties>
</file>