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muti365-my.sharepoint.com/personal/sayun_kh_rmuti_ac_th/Documents/เอกสาร มทร (ทำแบบ)/งาน (RMUTI)/ศูนย์ กลาง มทร.อีสาน/อาคาร 14/3 ปริมาณและราคา/"/>
    </mc:Choice>
  </mc:AlternateContent>
  <xr:revisionPtr revIDLastSave="188" documentId="8_{9F149E1C-95B6-4563-887A-37DFB2715F22}" xr6:coauthVersionLast="47" xr6:coauthVersionMax="47" xr10:uidLastSave="{D6426C8E-05DA-4F52-8629-0B8D0A01894E}"/>
  <bookViews>
    <workbookView xWindow="-120" yWindow="-120" windowWidth="29040" windowHeight="15840" tabRatio="813" firstSheet="2" activeTab="2" xr2:uid="{00000000-000D-0000-FFFF-FFFF00000000}"/>
  </bookViews>
  <sheets>
    <sheet name="XXXXXXX" sheetId="16" state="veryHidden" r:id="rId1"/>
    <sheet name="ผ่อง" sheetId="23" state="veryHidden" r:id="rId2"/>
    <sheet name="ปร.4" sheetId="70" r:id="rId3"/>
    <sheet name="ปร.5(ก)" sheetId="62" r:id="rId4"/>
    <sheet name="ปร.5(ข)" sheetId="64" r:id="rId5"/>
    <sheet name="ปร.6" sheetId="63" r:id="rId6"/>
    <sheet name="ชื่อโครงการ" sheetId="71" r:id="rId7"/>
  </sheets>
  <externalReferences>
    <externalReference r:id="rId8"/>
    <externalReference r:id="rId9"/>
  </externalReference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LLOOO">#REF!</definedName>
    <definedName name="_xlnm.Print_Area" localSheetId="2">ปร.4!$A$1:$J$107</definedName>
    <definedName name="_xlnm.Print_Area" localSheetId="3">'ปร.5(ก)'!$A$1:$G$38</definedName>
    <definedName name="_xlnm.Print_Area" localSheetId="4">'ปร.5(ข)'!$A$1:$F$33</definedName>
    <definedName name="_xlnm.Print_Area" localSheetId="5">ปร.6!$A$1:$D$36</definedName>
    <definedName name="_xlnm.Print_Area">#REF!</definedName>
    <definedName name="PRINT_AREA_MI">#REF!</definedName>
    <definedName name="_xlnm.Print_Titles" localSheetId="2">ปร.4!$1:$10</definedName>
    <definedName name="กกกกก">#REF!</definedName>
    <definedName name="งานทั่วไป">[1]ภูมิทัศน์!#REF!</definedName>
    <definedName name="งานบัวเชิงผนัง">[1]ภูมิทัศน์!#REF!</definedName>
    <definedName name="งานประตูหน้าต่าง">[1]ภูมิทัศน์!#REF!</definedName>
    <definedName name="งานผนัง">[1]ภูมิทัศน์!#REF!</definedName>
    <definedName name="งานฝ้าเพดาน">[1]ภูมิทัศน์!#REF!</definedName>
    <definedName name="งานพื้น">[1]ภูมิทัศน์!#REF!</definedName>
    <definedName name="งานสุขภัณฑ์">[1]ภูมิทัศน์!#REF!</definedName>
    <definedName name="งานหลังคา">[1]ภูมิทัศน์!#REF!</definedName>
    <definedName name="จัดสร้าง">#REF!</definedName>
    <definedName name="ใช่">#REF!</definedName>
    <definedName name="ดด">#REF!</definedName>
    <definedName name="วววววววว">#REF!</definedName>
    <definedName name="ววววววววว">#REF!</definedName>
    <definedName name="ศาลปกครอง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70" l="1"/>
  <c r="A5" i="62"/>
  <c r="A5" i="64"/>
  <c r="A5" i="63"/>
  <c r="E22" i="70"/>
  <c r="E20" i="70"/>
  <c r="F84" i="70"/>
  <c r="F50" i="70"/>
  <c r="F20" i="70"/>
  <c r="F22" i="70"/>
  <c r="F23" i="70"/>
  <c r="F15" i="70"/>
  <c r="F13" i="70"/>
  <c r="E79" i="70" l="1"/>
  <c r="E72" i="70"/>
  <c r="E78" i="70"/>
  <c r="E77" i="70"/>
  <c r="E76" i="70"/>
  <c r="E75" i="70"/>
  <c r="E55" i="70"/>
  <c r="E54" i="70"/>
  <c r="E53" i="70"/>
  <c r="E52" i="70"/>
  <c r="E56" i="70"/>
  <c r="E74" i="70"/>
  <c r="E73" i="70"/>
  <c r="E64" i="70"/>
  <c r="E71" i="70"/>
  <c r="E70" i="70"/>
  <c r="E68" i="70"/>
  <c r="E69" i="70"/>
  <c r="E67" i="70"/>
  <c r="E66" i="70"/>
  <c r="E65" i="70"/>
  <c r="E63" i="70"/>
  <c r="E62" i="70"/>
  <c r="E24" i="70"/>
  <c r="F24" i="70" s="1"/>
  <c r="H33" i="70"/>
  <c r="C62" i="70"/>
  <c r="C64" i="70"/>
  <c r="C65" i="70"/>
  <c r="B14" i="64"/>
  <c r="B16" i="63" s="1"/>
  <c r="B14" i="63"/>
  <c r="B15" i="62"/>
  <c r="B15" i="63" s="1"/>
  <c r="B14" i="62"/>
  <c r="H89" i="70"/>
  <c r="F89" i="70"/>
  <c r="H88" i="70"/>
  <c r="F88" i="70"/>
  <c r="H87" i="70"/>
  <c r="F87" i="70"/>
  <c r="H86" i="70"/>
  <c r="F86" i="70"/>
  <c r="H85" i="70"/>
  <c r="F85" i="70"/>
  <c r="H84" i="70"/>
  <c r="H91" i="70" s="1"/>
  <c r="I85" i="70" l="1"/>
  <c r="I87" i="70"/>
  <c r="I89" i="70"/>
  <c r="I86" i="70"/>
  <c r="F91" i="70"/>
  <c r="I91" i="70" s="1"/>
  <c r="C15" i="62" s="1"/>
  <c r="I84" i="70"/>
  <c r="I88" i="70"/>
  <c r="H95" i="70"/>
  <c r="F95" i="70"/>
  <c r="C47" i="70"/>
  <c r="C17" i="70"/>
  <c r="C25" i="70"/>
  <c r="C21" i="70"/>
  <c r="F21" i="70" s="1"/>
  <c r="C19" i="70"/>
  <c r="F19" i="70" s="1"/>
  <c r="H15" i="70"/>
  <c r="H25" i="70" l="1"/>
  <c r="F25" i="70"/>
  <c r="I95" i="70"/>
  <c r="E15" i="62"/>
  <c r="C15" i="63" s="1"/>
  <c r="I15" i="70"/>
  <c r="H63" i="70" l="1"/>
  <c r="F63" i="70"/>
  <c r="H70" i="70"/>
  <c r="F70" i="70"/>
  <c r="H73" i="70"/>
  <c r="F73" i="70"/>
  <c r="H74" i="70"/>
  <c r="F74" i="70"/>
  <c r="I63" i="70" l="1"/>
  <c r="I70" i="70"/>
  <c r="I73" i="70"/>
  <c r="I74" i="70"/>
  <c r="H94" i="70" l="1"/>
  <c r="H97" i="70" s="1"/>
  <c r="F94" i="70"/>
  <c r="H13" i="70"/>
  <c r="H37" i="70"/>
  <c r="H48" i="70"/>
  <c r="H61" i="70"/>
  <c r="F97" i="70" l="1"/>
  <c r="I97" i="70" s="1"/>
  <c r="C14" i="64" s="1"/>
  <c r="I94" i="70"/>
  <c r="H71" i="70" l="1"/>
  <c r="F71" i="70"/>
  <c r="H72" i="70"/>
  <c r="F72" i="70"/>
  <c r="H62" i="70"/>
  <c r="F62" i="70"/>
  <c r="I71" i="70" l="1"/>
  <c r="I72" i="70"/>
  <c r="I62" i="70"/>
  <c r="H77" i="70" l="1"/>
  <c r="F77" i="70"/>
  <c r="I77" i="70" l="1"/>
  <c r="C28" i="70"/>
  <c r="F28" i="70" s="1"/>
  <c r="H47" i="70"/>
  <c r="F47" i="70"/>
  <c r="H46" i="70"/>
  <c r="F46" i="70"/>
  <c r="H45" i="70"/>
  <c r="F45" i="70"/>
  <c r="H44" i="70"/>
  <c r="F44" i="70"/>
  <c r="H43" i="70"/>
  <c r="F43" i="70"/>
  <c r="H42" i="70"/>
  <c r="F42" i="70"/>
  <c r="H41" i="70"/>
  <c r="F41" i="70"/>
  <c r="H40" i="70"/>
  <c r="F40" i="70"/>
  <c r="H39" i="70"/>
  <c r="F39" i="70"/>
  <c r="E48" i="70" s="1"/>
  <c r="H36" i="70"/>
  <c r="F36" i="70"/>
  <c r="H35" i="70"/>
  <c r="F35" i="70"/>
  <c r="H34" i="70"/>
  <c r="F34" i="70"/>
  <c r="F33" i="70"/>
  <c r="I33" i="70" s="1"/>
  <c r="H32" i="70"/>
  <c r="F32" i="70"/>
  <c r="H31" i="70"/>
  <c r="F31" i="70"/>
  <c r="H30" i="70"/>
  <c r="F30" i="70"/>
  <c r="H29" i="70"/>
  <c r="F29" i="70"/>
  <c r="H27" i="70"/>
  <c r="F27" i="70"/>
  <c r="E37" i="70" l="1"/>
  <c r="F37" i="70" s="1"/>
  <c r="H28" i="70"/>
  <c r="I28" i="70" s="1"/>
  <c r="I47" i="70"/>
  <c r="I41" i="70"/>
  <c r="I40" i="70"/>
  <c r="I42" i="70"/>
  <c r="I43" i="70"/>
  <c r="I45" i="70"/>
  <c r="I39" i="70"/>
  <c r="I44" i="70"/>
  <c r="I46" i="70"/>
  <c r="I27" i="70"/>
  <c r="I34" i="70"/>
  <c r="I32" i="70"/>
  <c r="I29" i="70"/>
  <c r="I31" i="70"/>
  <c r="I30" i="70"/>
  <c r="I36" i="70"/>
  <c r="I35" i="70"/>
  <c r="I37" i="70" l="1"/>
  <c r="H53" i="70"/>
  <c r="F53" i="70"/>
  <c r="H68" i="70"/>
  <c r="F68" i="70"/>
  <c r="F58" i="70"/>
  <c r="G58" i="70" s="1"/>
  <c r="H58" i="70" s="1"/>
  <c r="I53" i="70" l="1"/>
  <c r="I68" i="70"/>
  <c r="I58" i="70"/>
  <c r="F79" i="70" l="1"/>
  <c r="H79" i="70"/>
  <c r="I25" i="70"/>
  <c r="H78" i="70"/>
  <c r="F78" i="70"/>
  <c r="H76" i="70"/>
  <c r="F76" i="70"/>
  <c r="H75" i="70"/>
  <c r="F75" i="70"/>
  <c r="H69" i="70"/>
  <c r="F69" i="70"/>
  <c r="H67" i="70"/>
  <c r="F67" i="70"/>
  <c r="H66" i="70"/>
  <c r="F66" i="70"/>
  <c r="H65" i="70"/>
  <c r="F65" i="70"/>
  <c r="H64" i="70"/>
  <c r="F64" i="70"/>
  <c r="F60" i="70"/>
  <c r="G60" i="70" s="1"/>
  <c r="H60" i="70" s="1"/>
  <c r="F59" i="70"/>
  <c r="H56" i="70"/>
  <c r="F56" i="70"/>
  <c r="H55" i="70"/>
  <c r="F55" i="70"/>
  <c r="H54" i="70"/>
  <c r="F54" i="70"/>
  <c r="H52" i="70"/>
  <c r="F52" i="70"/>
  <c r="H24" i="70"/>
  <c r="H23" i="70"/>
  <c r="H22" i="70"/>
  <c r="H21" i="70"/>
  <c r="H20" i="70"/>
  <c r="H19" i="70"/>
  <c r="H17" i="70"/>
  <c r="F17" i="70"/>
  <c r="H16" i="70"/>
  <c r="F16" i="70"/>
  <c r="E61" i="70" l="1"/>
  <c r="F48" i="70"/>
  <c r="I48" i="70" s="1"/>
  <c r="G59" i="70"/>
  <c r="H59" i="70" s="1"/>
  <c r="I59" i="70" s="1"/>
  <c r="G50" i="70"/>
  <c r="H50" i="70" s="1"/>
  <c r="I50" i="70" s="1"/>
  <c r="I79" i="70"/>
  <c r="I24" i="70"/>
  <c r="I75" i="70"/>
  <c r="I78" i="70"/>
  <c r="I16" i="70"/>
  <c r="I19" i="70"/>
  <c r="I23" i="70"/>
  <c r="I55" i="70"/>
  <c r="I65" i="70"/>
  <c r="I56" i="70"/>
  <c r="I60" i="70"/>
  <c r="I67" i="70"/>
  <c r="I76" i="70"/>
  <c r="I64" i="70"/>
  <c r="I54" i="70"/>
  <c r="I20" i="70"/>
  <c r="I22" i="70"/>
  <c r="I66" i="70"/>
  <c r="I69" i="70"/>
  <c r="I17" i="70"/>
  <c r="I21" i="70"/>
  <c r="I52" i="70"/>
  <c r="A7" i="70"/>
  <c r="A6" i="70"/>
  <c r="A5" i="70"/>
  <c r="A4" i="70"/>
  <c r="A2" i="70"/>
  <c r="A10" i="62"/>
  <c r="A8" i="62"/>
  <c r="A6" i="62"/>
  <c r="A4" i="62"/>
  <c r="A3" i="62"/>
  <c r="A10" i="64"/>
  <c r="A8" i="64"/>
  <c r="A6" i="64"/>
  <c r="A4" i="64"/>
  <c r="A3" i="64"/>
  <c r="A10" i="63"/>
  <c r="A8" i="63"/>
  <c r="A6" i="63"/>
  <c r="A4" i="63"/>
  <c r="A7" i="62"/>
  <c r="F61" i="70" l="1"/>
  <c r="I61" i="70" s="1"/>
  <c r="H81" i="70"/>
  <c r="F81" i="70"/>
  <c r="G5" i="70"/>
  <c r="A9" i="64" l="1"/>
  <c r="E14" i="64" l="1"/>
  <c r="E22" i="64" l="1"/>
  <c r="C16" i="63" s="1"/>
  <c r="I81" i="70"/>
  <c r="I13" i="70" l="1"/>
  <c r="C14" i="62" l="1"/>
  <c r="L25" i="62" s="1"/>
  <c r="E14" i="62" l="1"/>
  <c r="C14" i="63" s="1"/>
  <c r="C22" i="63" s="1"/>
  <c r="E27" i="62" l="1"/>
  <c r="C23" i="63"/>
  <c r="H22" i="63" s="1"/>
  <c r="B25" i="63" l="1"/>
  <c r="H25" i="63"/>
  <c r="H24" i="63"/>
</calcChain>
</file>

<file path=xl/sharedStrings.xml><?xml version="1.0" encoding="utf-8"?>
<sst xmlns="http://schemas.openxmlformats.org/spreadsheetml/2006/main" count="337" uniqueCount="164">
  <si>
    <t>รายการ</t>
  </si>
  <si>
    <t>แบบเลขที่</t>
  </si>
  <si>
    <t xml:space="preserve"> </t>
  </si>
  <si>
    <t>หน่วย : บาท</t>
  </si>
  <si>
    <t>จำนวน</t>
  </si>
  <si>
    <t>หมายเหตุ</t>
  </si>
  <si>
    <t>ลำดับที่</t>
  </si>
  <si>
    <t>หน่วย</t>
  </si>
  <si>
    <t>จำนวนเงิน</t>
  </si>
  <si>
    <t>ตร.ม.</t>
  </si>
  <si>
    <t>เมตร</t>
  </si>
  <si>
    <t>แบบแสดงรายการ ปริมาณงาน และราคา</t>
  </si>
  <si>
    <t xml:space="preserve">                  </t>
  </si>
  <si>
    <t>ค่าวัสดุ</t>
  </si>
  <si>
    <t>ค่าแรงงาน</t>
  </si>
  <si>
    <t>รวม</t>
  </si>
  <si>
    <t>ราคาต่อหน่วย</t>
  </si>
  <si>
    <t>ค่าวัสดุและแรงงาน</t>
  </si>
  <si>
    <t>งานรื้อถอน</t>
  </si>
  <si>
    <t>เหมา</t>
  </si>
  <si>
    <t xml:space="preserve">โคมไฟฟ้าหลอด LED </t>
  </si>
  <si>
    <t>ชุด</t>
  </si>
  <si>
    <t>**</t>
  </si>
  <si>
    <t>งานสวิทช์ไฟฟ้าและงานเต้ารับไฟฟ้า</t>
  </si>
  <si>
    <t>สวิทช์ไฟฟ้าทางเดียว 16A 250V</t>
  </si>
  <si>
    <t>*</t>
  </si>
  <si>
    <t>สวิทช์ไฟฟ้าทางเดียว 15A 250V (กันน้ำ)</t>
  </si>
  <si>
    <t>***</t>
  </si>
  <si>
    <t>เต้ารับปลั๊กฝังผนัง 16A 220V มีกราวด์(เต้ารับไฟฟ้าแบบคู่)</t>
  </si>
  <si>
    <t>16A 250V ,Duplex  (เต้ารับไฟฟ้าแบบคู่กันน้ำ)</t>
  </si>
  <si>
    <t>16A 250V ,4xDuplex  (เต้ารับไฟฟ้าแบบคู่ แขวน)</t>
  </si>
  <si>
    <t xml:space="preserve">เต้ารับ 3 เฟส </t>
  </si>
  <si>
    <t>พัดลมแบบโคจรติดเพดาน ขนาด 16 นิ้ว</t>
  </si>
  <si>
    <t>ตัว</t>
  </si>
  <si>
    <t xml:space="preserve">งานเดินสายไฟฟ้า </t>
  </si>
  <si>
    <t>สายไฟฟ้า THW (IEC 01) ขนาด 2.5 ตร.มม.</t>
  </si>
  <si>
    <t>สายไฟฟ้า THW (IEC 01) ขนาด 4 ตร.มม. IEC 01</t>
  </si>
  <si>
    <t>สายไฟฟ้า THW (IEC 01) ขนาด 6 ตร.มม. IEC 01</t>
  </si>
  <si>
    <t>สายไฟฟ้า THW (IEC 01) ขนาด 10 ตร.มม. IEC 01</t>
  </si>
  <si>
    <t>สายไฟฟ้า THW (IEC 01) ขนาด 16 ตร.มม. IEC 01</t>
  </si>
  <si>
    <t>สายไฟฟ้า THW (IEC 01) ขนาด 25 ตร.มม. IEC 01</t>
  </si>
  <si>
    <t>สายไฟฟ้า THW (IEC 01) ขนาด 50 ตร.มม. IEC 01</t>
  </si>
  <si>
    <t>สายไฟฟ้า THW (IEC 01) ขนาด 70 ตร.มม. IEC 01</t>
  </si>
  <si>
    <t>สายไฟฟ้า THW (IEC 01) ขนาด 120 ตร.มม. IEC 01</t>
  </si>
  <si>
    <t>สายไฟฟ้า THW (IEC 01) ขนาด 185 ตร.มม. IEC 01</t>
  </si>
  <si>
    <t xml:space="preserve">อุปกรณ์ประกอบการติดตั้งอื่นๆ คิดค่าวัสดุ 5% </t>
  </si>
  <si>
    <t>ท่อร้อยเดินสายไฟ</t>
  </si>
  <si>
    <t>ท่อร้อยสายไฟฟ้า EMT ขนาด 15mm. (1/2 " )</t>
  </si>
  <si>
    <t>ท่อร้อยสายไฟฟ้า EMT ขนาด 20mm. (3/4 " )</t>
  </si>
  <si>
    <t>ท่อร้อยสายไฟฟ้า EMT ขนาด 25mm. (1" )</t>
  </si>
  <si>
    <t>ท่อร้อยสายไฟฟ้า EMT ขนาด 32mm. (1-1/4 " )</t>
  </si>
  <si>
    <t>ท่อร้อยสายไฟฟ้า IMC ขนาด 50mm. (2 " )</t>
  </si>
  <si>
    <t>ท่อร้อยสายไฟฟ้า IMC ขนาด 65mm. (2 1/2 " )</t>
  </si>
  <si>
    <t>ท่อร้อยสายไฟฟ้า IMC ขนาด 80mm. (3 " )</t>
  </si>
  <si>
    <t>ท่อร้อยสายไฟฟ้า IMC ขนาด 100mm. (4 " )</t>
  </si>
  <si>
    <t>รางไวร์เวย์ ขนาด 6"x 4" (150x100) แบบขันสกรูพร้อมฝาปิด</t>
  </si>
  <si>
    <t xml:space="preserve">อุปกรณ์ประกอบการติดตั้งอื่นๆ คิดค่าวัสดุ 20% </t>
  </si>
  <si>
    <t>ตู้จ่ายไฟฟ้า MDB</t>
  </si>
  <si>
    <t>ตู้จ่ายไฟฟ้าหลัก MDB 8 วงจร 800A 3 Phase +มิเตอร์วัดพลังงาน+ไฟแสดงสถานะ+มิเตอร์กระแส+มอเตอร์แรงดัน</t>
  </si>
  <si>
    <t>ตู้</t>
  </si>
  <si>
    <t xml:space="preserve">ตู้จ่ายไฟฟ้า ตู้โหลด Center </t>
  </si>
  <si>
    <t>ตู้โหลดเซ็นเตอร์ 3 เฟส 4 สาย 100 A 12 ช่อง</t>
  </si>
  <si>
    <t>ตู้โหลดเซ็นเตอร์ 3 เฟส 4 สาย 100 A 18 ช่อง</t>
  </si>
  <si>
    <t>ตู้โหลดเซ็นเตอร์ 3 เฟส 4 สาย 100 A 24 ช่อง</t>
  </si>
  <si>
    <t>ตู้โหลดเซ็นเตอร์ 3 เฟส 4 สาย 100 A 36 ช่อง</t>
  </si>
  <si>
    <t>ตู้โหลดเซ็นเตอร์ 3 เฟส 4 สาย 250 A 48 ช่อง</t>
  </si>
  <si>
    <t>ตู้จ่ายไฟฟ้า DB</t>
  </si>
  <si>
    <t>Circuit Breaker 1 Pole 16AT/63AF, IC&gt;=10kA</t>
  </si>
  <si>
    <t xml:space="preserve">Circuit Breaker 1 Pole 20AT/63AF , IC&gt;=10kA </t>
  </si>
  <si>
    <t>Circuit Breaker 1 Pole 20AT/63AF , IC&gt;=10kA 30mA( กันไฟดูด )</t>
  </si>
  <si>
    <t>Circuit Breaker 3 Pole16AT/100AF, IC&gt;=10kA</t>
  </si>
  <si>
    <t>Circuit Breaker 3 Pole20AT/100AF, IC&gt;=10kA</t>
  </si>
  <si>
    <t>Circuit Breaker 3 Pole32AT/100AF, IC&gt;=10kA</t>
  </si>
  <si>
    <t>Circuit Breaker 3 Pole40AT/100AF, IC&gt;=10kA</t>
  </si>
  <si>
    <t>Circuit Breaker 3 Pole63AT/100AF, IC&gt;=10kA</t>
  </si>
  <si>
    <t>Circuit Breaker 3 Pole80AT/100AF, IC&gt;=10kA</t>
  </si>
  <si>
    <t>Circuit Breaker 3 Pole100AT/100AF, IC&gt;=10kA</t>
  </si>
  <si>
    <t>Circuit Breaker 3 Pole125AT/250AF, IC&gt;=10kA</t>
  </si>
  <si>
    <t>Circuit Breaker 3 Pole100AT/100AF, IC&gt;=35kA</t>
  </si>
  <si>
    <t>Circuit Breaker 3 Pole50AT/250AF, IC&gt;=35kA</t>
  </si>
  <si>
    <t>Circuit Breaker 3 Pole100AT/250AF, IC&gt;=35kA</t>
  </si>
  <si>
    <t>Circuit Breaker 3 Pole125AT/250AF, IC&gt;=35kA</t>
  </si>
  <si>
    <t>Circuit Breaker 3 Pole 200AT/250AF, IC&gt;=35kA</t>
  </si>
  <si>
    <t>Circuit Breaker 3 Pole 250AT/250AF, IC&gt;=35kA</t>
  </si>
  <si>
    <t>Circuit Breaker 3 Pole400AT/400AF, IC&gt;=35kA</t>
  </si>
  <si>
    <t>ครุภัณฑ์เครื่องปรับอากาศ ราคารวมติดตั้ง</t>
  </si>
  <si>
    <t>เครื่อง</t>
  </si>
  <si>
    <t xml:space="preserve"> 1.ราคาวัสดก่อสร้างอ้างอิงจาก:</t>
  </si>
  <si>
    <t xml:space="preserve">    * ราคาที่ได้มาจากการคำนวณตามหลักเกณฑ์ที่คณะกรรมการราคากลางกำหนด</t>
  </si>
  <si>
    <t xml:space="preserve">   ** ราคามาตรฐานที่สำนักงบประมาณหรือหน่วยงานกลางอื่นกำหนด</t>
  </si>
  <si>
    <t xml:space="preserve">  *** ราคาที่ได้มาจากการสืบราคาจากท้องตลาด</t>
  </si>
  <si>
    <t xml:space="preserve">  **** ราคาที่เคยซื้อหรือจ้างครั้งหลังสุดภายในระยะเวลาสองปีงบประมาณ</t>
  </si>
  <si>
    <t xml:space="preserve">  ***** ราคาอื่นใดตามหลักเกณฑ์ วิธีการ หรือแนวทางปฎิบัติของหน่วยงานของรัฐนั้นๆ</t>
  </si>
  <si>
    <t xml:space="preserve"> 2.ราคาค่าแรงอ้างอิงจากบัญชีค่าแรง/ดำเนินการ สำหรับการถอดแบบคำนวณราคากลางงานก่อสร้าง กรมบัญชีกลาง ตาม ว135 ลว 3 มีนาคม 2566</t>
  </si>
  <si>
    <t xml:space="preserve"> 3.การประมาณราคาทั้งปริมาณและราคาต่อหน่วยเป็นการประมาณซึ่งอาจมีความคลาดเคลื่อน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</si>
  <si>
    <t xml:space="preserve"> แบบ ปร. 5 (ก)</t>
  </si>
  <si>
    <t>แบบสรุปค่าก่อสร้าง</t>
  </si>
  <si>
    <t>ค่างานต้นทุน</t>
  </si>
  <si>
    <t>Factor F</t>
  </si>
  <si>
    <t>ค่าก่อสร้าง</t>
  </si>
  <si>
    <t xml:space="preserve">  เงื่อนไขการใช้ตาราง Factor F</t>
  </si>
  <si>
    <t>เงินล่วงหน้าจ่าย........0...…...%</t>
  </si>
  <si>
    <t>เงินประกันผลงานหัก.....0..….%</t>
  </si>
  <si>
    <t>ดอกเบี้ยเงินกู้..........7.....……%</t>
  </si>
  <si>
    <t>ภาษีมูลค่าเพิ่ม..........7....……%</t>
  </si>
  <si>
    <t>รวมค่าก่อสร้าง</t>
  </si>
  <si>
    <t>คณะกรรมการกำหนดราคากลาง</t>
  </si>
  <si>
    <t>..........................................</t>
  </si>
  <si>
    <t>ประธานกรรมการ</t>
  </si>
  <si>
    <t xml:space="preserve"> แบบ ปร. 5 (ข)</t>
  </si>
  <si>
    <t>แบบสรุปค่าครุภัณฑ์จัดซื้อ</t>
  </si>
  <si>
    <t xml:space="preserve">แบบเลขที่  </t>
  </si>
  <si>
    <t>ค่างาน</t>
  </si>
  <si>
    <t>ภาษี</t>
  </si>
  <si>
    <t>มูลค่าเพิ่ม</t>
  </si>
  <si>
    <t xml:space="preserve">                                                                                                                                  </t>
  </si>
  <si>
    <t xml:space="preserve">               แบบ ปร.6   แผ่นที่ 1/1</t>
  </si>
  <si>
    <t>แบบสรุปราคากลางงานก่อสร้างอาคาร</t>
  </si>
  <si>
    <t xml:space="preserve">แบบเลขที่                                                                         </t>
  </si>
  <si>
    <t>แบบ ปร. 4 และ ปร. 5  ที่แนบ          มีจำนวน     1     ชุด</t>
  </si>
  <si>
    <t>สรุป</t>
  </si>
  <si>
    <t>รวมค่าก่อสร้างทั้งโครงการ/งานก่อสร้าง</t>
  </si>
  <si>
    <t xml:space="preserve">                      ราคากลาง</t>
  </si>
  <si>
    <t>กลุ่มงาน : งานปรับปรุงอาคาร</t>
  </si>
  <si>
    <t>กลุ่มงาน : งานก่อสร้าง</t>
  </si>
  <si>
    <t>สถานที่ก่อสร้าง : 744 ถนนสุรนารายณ์ ตำบลในเมือง อำเภอเมืองนครราชสีมา จังหวัดนครราชสีมา</t>
  </si>
  <si>
    <t>สถานที่ก่อสร้าง : 77 หมู่7 ตำบลหนองระเวียง  อำเภอเมืองนครราชสีมา  จังหวัดนครราชสีมา</t>
  </si>
  <si>
    <t>หน่วยงานเจ้าของโครงการ : คณะสถาปัตยกรรมศาสตร์และศิลปกรรมสร้างสรรค์ มหาวิทยาลัยเทคโนโลยีราชมงคลอีสาน</t>
  </si>
  <si>
    <t>หน่วยงานเจ้าของโครงการ : สำนักงานบริหารสินทรัพย์  มหาวิทยาลัยเทคโนโลยีราชมงคลอีสาน</t>
  </si>
  <si>
    <t>หน่วยงานเจ้าของโครงการ : คณะนวัตกรรมและเทคโนโลยีการเกษตร  มหาวิทยาลัยเทคโนโลยีราชมงคลอีสาน</t>
  </si>
  <si>
    <t xml:space="preserve">โคมไฟ(แบบ FPL-36A) Panel light LED  30x120 CM </t>
  </si>
  <si>
    <t xml:space="preserve">เครื่องปรับอากาศ ขนาดไม่น้อยกว่า 36,000 BTU  </t>
  </si>
  <si>
    <t xml:space="preserve">เครื่องปรับอากาศ ขนาดไม่น้อยกว่า 30,000 BTU  </t>
  </si>
  <si>
    <t>ผนังยิปซัมบอร์ด หนา 9 มม.คร่าวเหล็กชุบสังกะสี (บุสองด้าน)</t>
  </si>
  <si>
    <t>ฝ้ายิปซั่มบอร์ดหนา 9 mm.  โครงคร่าวเหล็กชุบสังกะสี</t>
  </si>
  <si>
    <t>ทาสีฝ้าเพดาน</t>
  </si>
  <si>
    <t>ประตู UPVC บานเปิด พร้อมวงกบ ขนาด 0.80x2.00 ม.</t>
  </si>
  <si>
    <t>งานเปลี่ยนแผ่นกระจกบานเกล็ด หนา 5 มม.</t>
  </si>
  <si>
    <t>รวมหมวด1 งานวิศวกรรมไฟฟ้า</t>
  </si>
  <si>
    <t>รวมหมวด2 งานสถาปัตยกรรม</t>
  </si>
  <si>
    <t xml:space="preserve">รวมหมวด3 งานครุภัณฑ์ </t>
  </si>
  <si>
    <t>สีน้ำอะครีลิค 100% ทาภายใน มอก.2321-2549 (สีทารองพื้น 1 เที่ยว สีทับหน้าไม่น้อยกว่า 2 เที่ยว)</t>
  </si>
  <si>
    <t xml:space="preserve">ชื่อโครงการ :สำหรับการจ้าง ปรับปรุงโรงฝึกปฏิบัติงานออกแบบอุตสาหกรรม แห่งการเรียนรู้เพื่อผลิตบัณฑิตสู่อุตสาหกรรมสร้างสรรค์ </t>
  </si>
  <si>
    <t>งานรื้อถอนอุปกรณ์บริเวณปรับปรุงทั้งหมด รื้อขนไป</t>
  </si>
  <si>
    <t>...........................................</t>
  </si>
  <si>
    <t>(นายสายันต์ ขอนพุดซา)</t>
  </si>
  <si>
    <t>กรรมการและเลขานุการ</t>
  </si>
  <si>
    <t>แบบ  ปร. 4   ที่แนบ มีจำนวน  6  หน้า</t>
  </si>
  <si>
    <t>(นายมงคล กลิ่นทับ)</t>
  </si>
  <si>
    <t xml:space="preserve">(นางสาวปิยมาภรณ์ ฤทธิ์รักษา)   </t>
  </si>
  <si>
    <t xml:space="preserve">                         กรรมการ</t>
  </si>
  <si>
    <t xml:space="preserve">                        กรรมการ</t>
  </si>
  <si>
    <t xml:space="preserve">                                       กรรมการ</t>
  </si>
  <si>
    <t>โคมพลาสติก ABS กันน้ำฝุ่น หลอด LED T8 1x18W (120cm.)</t>
  </si>
  <si>
    <t>โคม 2 x LED 18W 30x120CM ตะแกรงสะท้อนแสง</t>
  </si>
  <si>
    <t>หมวดที่1 งานวิศวกรรมไฟฟ้า</t>
  </si>
  <si>
    <t>หมวดที่2 งานสถาปัตยกรรม</t>
  </si>
  <si>
    <t>งานกั้นห้องเรียน</t>
  </si>
  <si>
    <t xml:space="preserve">หมวดที่3 งานครุภัณฑ์ </t>
  </si>
  <si>
    <t>ตู้ DB2  8 วงจร  200 A เฟส 8 ช่อง + Energy meter</t>
  </si>
  <si>
    <t>ตู้ DB3  8 วงจร  250 A เฟส 8 ช่อง + Energy meter</t>
  </si>
  <si>
    <t>ตู้ DB1  8 วงจร  100 A เฟส 8 ช่อง + Energy meter</t>
  </si>
  <si>
    <t>คำนวณราคากลาง : โดยคณะกรรมการกำหนดราคากลาง  เมื่อวันที่ 15  เดือน พฤษภาคม พ.ศ. 2567</t>
  </si>
  <si>
    <t xml:space="preserve">                 ตำบลในเมือง อำเภอเมืองนครราชสีมา จังหวัดนครราชสีมา จำนวน 1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</si>
</sst>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-&quot;฿&quot;* #,##0_-;\-&quot;฿&quot;* #,##0_-;_-&quot;฿&quot;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000_);_(* \(#,##0.00000\);_(* &quot;-&quot;??_);_(@_)"/>
    <numFmt numFmtId="168" formatCode="\t0.00E+00"/>
    <numFmt numFmtId="169" formatCode="&quot;฿&quot;\t#,##0_);\(&quot;฿&quot;\t#,##0\)"/>
    <numFmt numFmtId="170" formatCode="m/d/yy\ hh:mm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#,##0.0_);\(#,##0.0\)"/>
    <numFmt numFmtId="174" formatCode="0.0&quot;  &quot;"/>
    <numFmt numFmtId="175" formatCode="_-* #,##0.00000_-;\-* #,##0.00000_-;_-* &quot;-&quot;?????_-;_-@_-"/>
    <numFmt numFmtId="176" formatCode="#,##0.000000&quot; &quot;"/>
    <numFmt numFmtId="177" formatCode="#,###&quot;   &quot;"/>
    <numFmt numFmtId="178" formatCode="General_)"/>
    <numFmt numFmtId="179" formatCode="dd\-mm\-yy"/>
    <numFmt numFmtId="180" formatCode="_(* #,##0.0000_);_(* \(#,##0.0000\);_(* &quot;-&quot;??_);_(@_)"/>
    <numFmt numFmtId="181" formatCode="_-* #,##0_-;\-* #,##0_-;_-* &quot;-&quot;??_-;_-@_-"/>
  </numFmts>
  <fonts count="46">
    <font>
      <sz val="14"/>
      <name val="AngsanaUPC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b/>
      <sz val="16"/>
      <color rgb="FF333399"/>
      <name val="TH SarabunPSK"/>
      <family val="2"/>
    </font>
    <font>
      <sz val="16"/>
      <color theme="1"/>
      <name val="TH SarabunPSK"/>
      <family val="2"/>
    </font>
    <font>
      <sz val="12"/>
      <name val="CordiaUPC"/>
      <family val="2"/>
      <charset val="222"/>
    </font>
    <font>
      <sz val="15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name val="TH Sarabun New"/>
      <family val="2"/>
    </font>
    <font>
      <sz val="14"/>
      <name val="AngsanaUPC"/>
      <family val="1"/>
      <charset val="222"/>
    </font>
    <font>
      <sz val="16"/>
      <name val="TH Sarabun New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7" fillId="0" borderId="0">
      <alignment vertical="center"/>
    </xf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7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3" fillId="0" borderId="0"/>
    <xf numFmtId="0" fontId="16" fillId="0" borderId="0"/>
    <xf numFmtId="9" fontId="8" fillId="2" borderId="0"/>
    <xf numFmtId="0" fontId="17" fillId="3" borderId="1">
      <alignment horizontal="centerContinuous" vertical="top"/>
    </xf>
    <xf numFmtId="0" fontId="8" fillId="0" borderId="0" applyFill="0" applyBorder="0" applyAlignment="0"/>
    <xf numFmtId="173" fontId="12" fillId="0" borderId="0" applyFill="0" applyBorder="0" applyAlignment="0"/>
    <xf numFmtId="0" fontId="15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71" fontId="6" fillId="0" borderId="0" applyFill="0" applyBorder="0" applyAlignment="0"/>
    <xf numFmtId="174" fontId="9" fillId="0" borderId="0" applyFill="0" applyBorder="0" applyAlignment="0"/>
    <xf numFmtId="173" fontId="12" fillId="0" borderId="0" applyFill="0" applyBorder="0" applyAlignment="0"/>
    <xf numFmtId="171" fontId="6" fillId="0" borderId="0" applyFont="0" applyFill="0" applyBorder="0" applyAlignment="0" applyProtection="0"/>
    <xf numFmtId="0" fontId="17" fillId="3" borderId="1">
      <alignment horizontal="centerContinuous" vertical="top"/>
    </xf>
    <xf numFmtId="173" fontId="12" fillId="0" borderId="0" applyFont="0" applyFill="0" applyBorder="0" applyAlignment="0" applyProtection="0"/>
    <xf numFmtId="14" fontId="20" fillId="0" borderId="0" applyFill="0" applyBorder="0" applyAlignment="0"/>
    <xf numFmtId="15" fontId="21" fillId="4" borderId="0">
      <alignment horizontal="centerContinuous"/>
    </xf>
    <xf numFmtId="171" fontId="6" fillId="0" borderId="0" applyFill="0" applyBorder="0" applyAlignment="0"/>
    <xf numFmtId="173" fontId="12" fillId="0" borderId="0" applyFill="0" applyBorder="0" applyAlignment="0"/>
    <xf numFmtId="171" fontId="6" fillId="0" borderId="0" applyFill="0" applyBorder="0" applyAlignment="0"/>
    <xf numFmtId="174" fontId="9" fillId="0" borderId="0" applyFill="0" applyBorder="0" applyAlignment="0"/>
    <xf numFmtId="173" fontId="12" fillId="0" borderId="0" applyFill="0" applyBorder="0" applyAlignment="0"/>
    <xf numFmtId="38" fontId="18" fillId="3" borderId="0" applyNumberFormat="0" applyBorder="0" applyAlignment="0" applyProtection="0"/>
    <xf numFmtId="0" fontId="22" fillId="0" borderId="2" applyNumberFormat="0" applyAlignment="0" applyProtection="0">
      <alignment horizontal="left" vertical="center"/>
    </xf>
    <xf numFmtId="0" fontId="22" fillId="0" borderId="3">
      <alignment horizontal="left" vertical="center"/>
    </xf>
    <xf numFmtId="10" fontId="18" fillId="5" borderId="4" applyNumberFormat="0" applyBorder="0" applyAlignment="0" applyProtection="0"/>
    <xf numFmtId="171" fontId="6" fillId="0" borderId="0" applyFill="0" applyBorder="0" applyAlignment="0"/>
    <xf numFmtId="173" fontId="12" fillId="0" borderId="0" applyFill="0" applyBorder="0" applyAlignment="0"/>
    <xf numFmtId="171" fontId="6" fillId="0" borderId="0" applyFill="0" applyBorder="0" applyAlignment="0"/>
    <xf numFmtId="174" fontId="9" fillId="0" borderId="0" applyFill="0" applyBorder="0" applyAlignment="0"/>
    <xf numFmtId="173" fontId="12" fillId="0" borderId="0" applyFill="0" applyBorder="0" applyAlignment="0"/>
    <xf numFmtId="175" fontId="5" fillId="0" borderId="0"/>
    <xf numFmtId="0" fontId="14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9" fillId="0" borderId="0" applyFont="0" applyFill="0" applyBorder="0" applyAlignment="0" applyProtection="0"/>
    <xf numFmtId="171" fontId="6" fillId="0" borderId="0" applyFill="0" applyBorder="0" applyAlignment="0"/>
    <xf numFmtId="173" fontId="12" fillId="0" borderId="0" applyFill="0" applyBorder="0" applyAlignment="0"/>
    <xf numFmtId="171" fontId="6" fillId="0" borderId="0" applyFill="0" applyBorder="0" applyAlignment="0"/>
    <xf numFmtId="174" fontId="9" fillId="0" borderId="0" applyFill="0" applyBorder="0" applyAlignment="0"/>
    <xf numFmtId="173" fontId="12" fillId="0" borderId="0" applyFill="0" applyBorder="0" applyAlignment="0"/>
    <xf numFmtId="0" fontId="23" fillId="2" borderId="0"/>
    <xf numFmtId="49" fontId="20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17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7" applyNumberFormat="0" applyFont="0" applyBorder="0" applyAlignment="0" applyProtection="0"/>
    <xf numFmtId="43" fontId="24" fillId="0" borderId="0" applyFont="0" applyFill="0" applyBorder="0" applyAlignment="0" applyProtection="0"/>
    <xf numFmtId="37" fontId="27" fillId="0" borderId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5" fillId="0" borderId="0"/>
    <xf numFmtId="43" fontId="8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5" fillId="0" borderId="0"/>
    <xf numFmtId="164" fontId="38" fillId="0" borderId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229">
    <xf numFmtId="0" fontId="0" fillId="0" borderId="0" xfId="0"/>
    <xf numFmtId="166" fontId="32" fillId="0" borderId="0" xfId="60" applyNumberFormat="1" applyFont="1"/>
    <xf numFmtId="0" fontId="32" fillId="0" borderId="0" xfId="0" applyFont="1"/>
    <xf numFmtId="166" fontId="32" fillId="6" borderId="10" xfId="60" applyNumberFormat="1" applyFont="1" applyFill="1" applyBorder="1" applyAlignment="1">
      <alignment horizontal="left"/>
    </xf>
    <xf numFmtId="166" fontId="32" fillId="6" borderId="10" xfId="60" applyNumberFormat="1" applyFont="1" applyFill="1" applyBorder="1"/>
    <xf numFmtId="43" fontId="32" fillId="6" borderId="5" xfId="70" applyFont="1" applyFill="1" applyBorder="1"/>
    <xf numFmtId="166" fontId="32" fillId="6" borderId="0" xfId="60" applyNumberFormat="1" applyFont="1" applyFill="1" applyBorder="1"/>
    <xf numFmtId="0" fontId="32" fillId="0" borderId="0" xfId="0" applyFont="1" applyAlignment="1">
      <alignment horizontal="left"/>
    </xf>
    <xf numFmtId="0" fontId="35" fillId="0" borderId="0" xfId="0" applyFont="1"/>
    <xf numFmtId="0" fontId="33" fillId="0" borderId="0" xfId="0" applyFont="1" applyAlignment="1">
      <alignment horizontal="center"/>
    </xf>
    <xf numFmtId="166" fontId="32" fillId="6" borderId="7" xfId="60" applyNumberFormat="1" applyFont="1" applyFill="1" applyBorder="1"/>
    <xf numFmtId="166" fontId="32" fillId="6" borderId="0" xfId="60" applyNumberFormat="1" applyFont="1" applyFill="1" applyBorder="1" applyAlignment="1">
      <alignment horizontal="center"/>
    </xf>
    <xf numFmtId="166" fontId="32" fillId="6" borderId="11" xfId="60" applyNumberFormat="1" applyFont="1" applyFill="1" applyBorder="1" applyAlignment="1">
      <alignment horizontal="center"/>
    </xf>
    <xf numFmtId="166" fontId="35" fillId="8" borderId="8" xfId="60" applyNumberFormat="1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166" fontId="32" fillId="6" borderId="5" xfId="60" applyNumberFormat="1" applyFont="1" applyFill="1" applyBorder="1" applyAlignment="1">
      <alignment horizontal="center"/>
    </xf>
    <xf numFmtId="166" fontId="32" fillId="6" borderId="12" xfId="60" applyNumberFormat="1" applyFont="1" applyFill="1" applyBorder="1"/>
    <xf numFmtId="165" fontId="32" fillId="6" borderId="5" xfId="60" applyNumberFormat="1" applyFont="1" applyFill="1" applyBorder="1"/>
    <xf numFmtId="167" fontId="32" fillId="6" borderId="5" xfId="60" applyNumberFormat="1" applyFont="1" applyFill="1" applyBorder="1"/>
    <xf numFmtId="166" fontId="32" fillId="6" borderId="5" xfId="60" applyNumberFormat="1" applyFont="1" applyFill="1" applyBorder="1"/>
    <xf numFmtId="166" fontId="32" fillId="6" borderId="5" xfId="60" applyNumberFormat="1" applyFont="1" applyFill="1" applyBorder="1" applyAlignment="1">
      <alignment horizontal="left"/>
    </xf>
    <xf numFmtId="166" fontId="32" fillId="0" borderId="5" xfId="60" applyNumberFormat="1" applyFont="1" applyFill="1" applyBorder="1"/>
    <xf numFmtId="166" fontId="32" fillId="0" borderId="5" xfId="60" applyNumberFormat="1" applyFont="1" applyFill="1" applyBorder="1" applyAlignment="1">
      <alignment horizontal="left"/>
    </xf>
    <xf numFmtId="166" fontId="32" fillId="6" borderId="21" xfId="60" applyNumberFormat="1" applyFont="1" applyFill="1" applyBorder="1"/>
    <xf numFmtId="166" fontId="32" fillId="0" borderId="6" xfId="60" applyNumberFormat="1" applyFont="1" applyFill="1" applyBorder="1" applyAlignment="1">
      <alignment horizontal="left"/>
    </xf>
    <xf numFmtId="165" fontId="32" fillId="6" borderId="21" xfId="60" applyNumberFormat="1" applyFont="1" applyFill="1" applyBorder="1"/>
    <xf numFmtId="166" fontId="32" fillId="6" borderId="23" xfId="60" applyNumberFormat="1" applyFont="1" applyFill="1" applyBorder="1"/>
    <xf numFmtId="0" fontId="32" fillId="0" borderId="23" xfId="0" applyFont="1" applyBorder="1"/>
    <xf numFmtId="165" fontId="32" fillId="6" borderId="23" xfId="60" applyNumberFormat="1" applyFont="1" applyFill="1" applyBorder="1"/>
    <xf numFmtId="165" fontId="32" fillId="10" borderId="9" xfId="60" applyNumberFormat="1" applyFont="1" applyFill="1" applyBorder="1"/>
    <xf numFmtId="180" fontId="32" fillId="6" borderId="5" xfId="60" applyNumberFormat="1" applyFont="1" applyFill="1" applyBorder="1"/>
    <xf numFmtId="43" fontId="32" fillId="6" borderId="5" xfId="60" applyNumberFormat="1" applyFont="1" applyFill="1" applyBorder="1"/>
    <xf numFmtId="165" fontId="32" fillId="6" borderId="5" xfId="60" applyNumberFormat="1" applyFont="1" applyFill="1" applyBorder="1" applyAlignment="1">
      <alignment horizontal="left"/>
    </xf>
    <xf numFmtId="166" fontId="32" fillId="6" borderId="24" xfId="60" applyNumberFormat="1" applyFont="1" applyFill="1" applyBorder="1"/>
    <xf numFmtId="166" fontId="35" fillId="8" borderId="25" xfId="60" applyNumberFormat="1" applyFont="1" applyFill="1" applyBorder="1" applyAlignment="1">
      <alignment horizontal="center"/>
    </xf>
    <xf numFmtId="166" fontId="32" fillId="8" borderId="5" xfId="60" applyNumberFormat="1" applyFont="1" applyFill="1" applyBorder="1"/>
    <xf numFmtId="166" fontId="32" fillId="8" borderId="5" xfId="60" applyNumberFormat="1" applyFont="1" applyFill="1" applyBorder="1" applyAlignment="1">
      <alignment horizontal="left"/>
    </xf>
    <xf numFmtId="166" fontId="32" fillId="8" borderId="23" xfId="60" applyNumberFormat="1" applyFont="1" applyFill="1" applyBorder="1" applyAlignment="1">
      <alignment horizontal="left"/>
    </xf>
    <xf numFmtId="166" fontId="32" fillId="6" borderId="22" xfId="60" applyNumberFormat="1" applyFont="1" applyFill="1" applyBorder="1"/>
    <xf numFmtId="43" fontId="32" fillId="6" borderId="23" xfId="60" applyNumberFormat="1" applyFont="1" applyFill="1" applyBorder="1"/>
    <xf numFmtId="43" fontId="32" fillId="9" borderId="9" xfId="70" applyFont="1" applyFill="1" applyBorder="1"/>
    <xf numFmtId="0" fontId="32" fillId="0" borderId="0" xfId="0" applyFont="1" applyAlignment="1">
      <alignment horizontal="left" vertical="center"/>
    </xf>
    <xf numFmtId="166" fontId="32" fillId="0" borderId="0" xfId="60" applyNumberFormat="1" applyFont="1" applyAlignment="1">
      <alignment vertical="center"/>
    </xf>
    <xf numFmtId="166" fontId="32" fillId="0" borderId="0" xfId="60" quotePrefix="1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166" fontId="35" fillId="0" borderId="0" xfId="60" applyNumberFormat="1" applyFont="1" applyAlignment="1">
      <alignment horizontal="center" vertical="center"/>
    </xf>
    <xf numFmtId="166" fontId="32" fillId="7" borderId="7" xfId="60" applyNumberFormat="1" applyFont="1" applyFill="1" applyBorder="1" applyAlignment="1">
      <alignment vertical="center"/>
    </xf>
    <xf numFmtId="166" fontId="32" fillId="7" borderId="10" xfId="60" quotePrefix="1" applyNumberFormat="1" applyFont="1" applyFill="1" applyBorder="1" applyAlignment="1">
      <alignment horizontal="left" vertical="center"/>
    </xf>
    <xf numFmtId="166" fontId="32" fillId="7" borderId="10" xfId="60" applyNumberFormat="1" applyFont="1" applyFill="1" applyBorder="1" applyAlignment="1">
      <alignment vertical="center"/>
    </xf>
    <xf numFmtId="166" fontId="32" fillId="6" borderId="10" xfId="60" applyNumberFormat="1" applyFont="1" applyFill="1" applyBorder="1" applyAlignment="1">
      <alignment horizontal="left" vertical="center"/>
    </xf>
    <xf numFmtId="166" fontId="32" fillId="6" borderId="10" xfId="60" applyNumberFormat="1" applyFont="1" applyFill="1" applyBorder="1" applyAlignment="1">
      <alignment vertical="center"/>
    </xf>
    <xf numFmtId="166" fontId="32" fillId="7" borderId="0" xfId="60" applyNumberFormat="1" applyFont="1" applyFill="1" applyAlignment="1">
      <alignment vertical="center"/>
    </xf>
    <xf numFmtId="166" fontId="35" fillId="7" borderId="0" xfId="60" applyNumberFormat="1" applyFont="1" applyFill="1" applyAlignment="1">
      <alignment horizontal="right" vertical="center"/>
    </xf>
    <xf numFmtId="166" fontId="35" fillId="6" borderId="8" xfId="60" applyNumberFormat="1" applyFont="1" applyFill="1" applyBorder="1" applyAlignment="1">
      <alignment horizontal="center" vertical="center"/>
    </xf>
    <xf numFmtId="166" fontId="35" fillId="6" borderId="21" xfId="60" applyNumberFormat="1" applyFont="1" applyFill="1" applyBorder="1" applyAlignment="1">
      <alignment horizontal="center" vertical="center"/>
    </xf>
    <xf numFmtId="166" fontId="35" fillId="6" borderId="9" xfId="60" applyNumberFormat="1" applyFont="1" applyFill="1" applyBorder="1" applyAlignment="1">
      <alignment horizontal="center" vertical="center"/>
    </xf>
    <xf numFmtId="166" fontId="32" fillId="0" borderId="5" xfId="60" applyNumberFormat="1" applyFont="1" applyBorder="1" applyAlignment="1">
      <alignment vertical="center"/>
    </xf>
    <xf numFmtId="166" fontId="32" fillId="0" borderId="5" xfId="60" applyNumberFormat="1" applyFont="1" applyBorder="1" applyAlignment="1">
      <alignment horizontal="left" vertical="center"/>
    </xf>
    <xf numFmtId="43" fontId="32" fillId="6" borderId="5" xfId="70" applyFont="1" applyFill="1" applyBorder="1" applyAlignment="1">
      <alignment vertical="center"/>
    </xf>
    <xf numFmtId="166" fontId="32" fillId="0" borderId="21" xfId="60" applyNumberFormat="1" applyFont="1" applyBorder="1" applyAlignment="1">
      <alignment vertical="center"/>
    </xf>
    <xf numFmtId="166" fontId="32" fillId="0" borderId="21" xfId="60" applyNumberFormat="1" applyFont="1" applyBorder="1" applyAlignment="1">
      <alignment horizontal="left" vertical="center"/>
    </xf>
    <xf numFmtId="43" fontId="32" fillId="0" borderId="21" xfId="60" applyNumberFormat="1" applyFont="1" applyBorder="1" applyAlignment="1">
      <alignment vertical="center"/>
    </xf>
    <xf numFmtId="166" fontId="32" fillId="0" borderId="23" xfId="60" applyNumberFormat="1" applyFont="1" applyBorder="1" applyAlignment="1">
      <alignment vertical="center"/>
    </xf>
    <xf numFmtId="166" fontId="32" fillId="0" borderId="23" xfId="60" applyNumberFormat="1" applyFont="1" applyBorder="1" applyAlignment="1">
      <alignment horizontal="left" vertical="center"/>
    </xf>
    <xf numFmtId="43" fontId="32" fillId="0" borderId="23" xfId="60" applyNumberFormat="1" applyFont="1" applyBorder="1" applyAlignment="1">
      <alignment vertical="center"/>
    </xf>
    <xf numFmtId="43" fontId="35" fillId="8" borderId="28" xfId="60" applyNumberFormat="1" applyFont="1" applyFill="1" applyBorder="1" applyAlignment="1">
      <alignment vertical="center"/>
    </xf>
    <xf numFmtId="166" fontId="35" fillId="6" borderId="28" xfId="60" applyNumberFormat="1" applyFont="1" applyFill="1" applyBorder="1" applyAlignment="1">
      <alignment vertical="center"/>
    </xf>
    <xf numFmtId="43" fontId="35" fillId="12" borderId="15" xfId="70" applyFont="1" applyFill="1" applyBorder="1" applyAlignment="1">
      <alignment vertical="center"/>
    </xf>
    <xf numFmtId="0" fontId="32" fillId="0" borderId="24" xfId="0" applyFont="1" applyBorder="1" applyAlignment="1">
      <alignment vertical="center"/>
    </xf>
    <xf numFmtId="166" fontId="35" fillId="6" borderId="29" xfId="60" quotePrefix="1" applyNumberFormat="1" applyFont="1" applyFill="1" applyBorder="1" applyAlignment="1">
      <alignment vertical="center"/>
    </xf>
    <xf numFmtId="166" fontId="35" fillId="6" borderId="18" xfId="60" quotePrefix="1" applyNumberFormat="1" applyFont="1" applyFill="1" applyBorder="1" applyAlignment="1">
      <alignment vertical="center"/>
    </xf>
    <xf numFmtId="166" fontId="32" fillId="6" borderId="0" xfId="60" applyNumberFormat="1" applyFont="1" applyFill="1" applyBorder="1" applyAlignment="1">
      <alignment vertical="center"/>
    </xf>
    <xf numFmtId="166" fontId="32" fillId="0" borderId="0" xfId="60" quotePrefix="1" applyNumberFormat="1" applyFont="1" applyBorder="1" applyAlignment="1">
      <alignment horizontal="left" vertical="center"/>
    </xf>
    <xf numFmtId="166" fontId="32" fillId="0" borderId="0" xfId="60" applyNumberFormat="1" applyFont="1" applyBorder="1" applyAlignment="1">
      <alignment vertical="center"/>
    </xf>
    <xf numFmtId="166" fontId="37" fillId="6" borderId="0" xfId="60" quotePrefix="1" applyNumberFormat="1" applyFont="1" applyFill="1" applyBorder="1" applyAlignment="1">
      <alignment vertical="center"/>
    </xf>
    <xf numFmtId="166" fontId="32" fillId="6" borderId="0" xfId="60" applyNumberFormat="1" applyFont="1" applyFill="1" applyBorder="1" applyAlignment="1">
      <alignment horizontal="center" vertical="center"/>
    </xf>
    <xf numFmtId="166" fontId="32" fillId="0" borderId="0" xfId="60" applyNumberFormat="1" applyFont="1" applyBorder="1" applyAlignment="1">
      <alignment horizontal="left" vertical="center"/>
    </xf>
    <xf numFmtId="166" fontId="30" fillId="0" borderId="0" xfId="60" applyNumberFormat="1" applyFont="1" applyAlignment="1">
      <alignment vertical="center"/>
    </xf>
    <xf numFmtId="166" fontId="30" fillId="0" borderId="0" xfId="6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166" fontId="29" fillId="6" borderId="0" xfId="60" applyNumberFormat="1" applyFont="1" applyFill="1" applyBorder="1" applyAlignment="1">
      <alignment vertical="center"/>
    </xf>
    <xf numFmtId="166" fontId="31" fillId="6" borderId="0" xfId="60" quotePrefix="1" applyNumberFormat="1" applyFont="1" applyFill="1" applyBorder="1" applyAlignment="1">
      <alignment horizontal="center" vertical="center"/>
    </xf>
    <xf numFmtId="166" fontId="31" fillId="6" borderId="0" xfId="60" quotePrefix="1" applyNumberFormat="1" applyFont="1" applyFill="1" applyBorder="1" applyAlignment="1">
      <alignment vertical="center"/>
    </xf>
    <xf numFmtId="166" fontId="30" fillId="6" borderId="0" xfId="60" applyNumberFormat="1" applyFont="1" applyFill="1" applyBorder="1" applyAlignment="1">
      <alignment horizontal="center" vertical="center"/>
    </xf>
    <xf numFmtId="166" fontId="30" fillId="0" borderId="0" xfId="6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43" fontId="29" fillId="0" borderId="0" xfId="7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43" fontId="32" fillId="0" borderId="0" xfId="0" applyNumberFormat="1" applyFont="1"/>
    <xf numFmtId="166" fontId="35" fillId="6" borderId="17" xfId="60" quotePrefix="1" applyNumberFormat="1" applyFont="1" applyFill="1" applyBorder="1" applyAlignment="1">
      <alignment horizontal="left" vertical="center"/>
    </xf>
    <xf numFmtId="166" fontId="35" fillId="6" borderId="0" xfId="60" applyNumberFormat="1" applyFont="1" applyFill="1" applyBorder="1" applyAlignment="1">
      <alignment vertical="center"/>
    </xf>
    <xf numFmtId="166" fontId="37" fillId="6" borderId="0" xfId="60" quotePrefix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6" fontId="39" fillId="7" borderId="7" xfId="60" quotePrefix="1" applyNumberFormat="1" applyFont="1" applyFill="1" applyBorder="1" applyAlignment="1">
      <alignment horizontal="left" vertical="center"/>
    </xf>
    <xf numFmtId="43" fontId="41" fillId="0" borderId="7" xfId="70" applyFont="1" applyFill="1" applyBorder="1" applyAlignment="1">
      <alignment horizontal="center" vertical="center"/>
    </xf>
    <xf numFmtId="43" fontId="41" fillId="0" borderId="7" xfId="70" applyFont="1" applyFill="1" applyBorder="1" applyAlignment="1">
      <alignment horizontal="left" vertical="center"/>
    </xf>
    <xf numFmtId="43" fontId="41" fillId="0" borderId="10" xfId="70" applyFont="1" applyFill="1" applyBorder="1" applyAlignment="1">
      <alignment horizontal="center" vertical="center"/>
    </xf>
    <xf numFmtId="43" fontId="41" fillId="0" borderId="10" xfId="70" applyFont="1" applyFill="1" applyBorder="1" applyAlignment="1">
      <alignment horizontal="left" vertical="center"/>
    </xf>
    <xf numFmtId="43" fontId="41" fillId="0" borderId="10" xfId="70" applyFont="1" applyFill="1" applyBorder="1" applyAlignment="1">
      <alignment vertical="center"/>
    </xf>
    <xf numFmtId="43" fontId="40" fillId="0" borderId="0" xfId="70" applyFont="1" applyFill="1" applyAlignment="1">
      <alignment vertical="center"/>
    </xf>
    <xf numFmtId="43" fontId="41" fillId="0" borderId="0" xfId="70" applyFont="1" applyFill="1" applyAlignment="1">
      <alignment vertical="center"/>
    </xf>
    <xf numFmtId="43" fontId="41" fillId="0" borderId="0" xfId="70" applyFont="1" applyFill="1" applyAlignment="1">
      <alignment horizontal="center" vertical="center"/>
    </xf>
    <xf numFmtId="43" fontId="40" fillId="0" borderId="0" xfId="70" applyFont="1" applyFill="1" applyAlignment="1">
      <alignment horizontal="center" vertical="center"/>
    </xf>
    <xf numFmtId="0" fontId="40" fillId="0" borderId="5" xfId="76" applyNumberFormat="1" applyFont="1" applyFill="1" applyBorder="1" applyAlignment="1">
      <alignment horizontal="center" vertical="center"/>
    </xf>
    <xf numFmtId="43" fontId="40" fillId="0" borderId="5" xfId="76" applyFont="1" applyFill="1" applyBorder="1" applyAlignment="1">
      <alignment horizontal="left" vertical="center"/>
    </xf>
    <xf numFmtId="43" fontId="41" fillId="0" borderId="5" xfId="70" applyFont="1" applyFill="1" applyBorder="1" applyAlignment="1">
      <alignment horizontal="center" vertical="center"/>
    </xf>
    <xf numFmtId="43" fontId="41" fillId="0" borderId="5" xfId="76" applyFont="1" applyFill="1" applyBorder="1" applyAlignment="1">
      <alignment horizontal="center"/>
    </xf>
    <xf numFmtId="43" fontId="41" fillId="0" borderId="5" xfId="76" applyFont="1" applyFill="1" applyBorder="1" applyAlignment="1">
      <alignment horizontal="center" vertical="center"/>
    </xf>
    <xf numFmtId="43" fontId="41" fillId="0" borderId="7" xfId="76" applyFont="1" applyFill="1" applyBorder="1" applyAlignment="1">
      <alignment horizontal="center" vertical="center"/>
    </xf>
    <xf numFmtId="43" fontId="41" fillId="0" borderId="6" xfId="70" applyFont="1" applyFill="1" applyBorder="1" applyAlignment="1">
      <alignment horizontal="center" vertical="center"/>
    </xf>
    <xf numFmtId="43" fontId="41" fillId="0" borderId="6" xfId="76" applyFont="1" applyFill="1" applyBorder="1" applyAlignment="1">
      <alignment horizontal="center" vertical="center"/>
    </xf>
    <xf numFmtId="43" fontId="41" fillId="0" borderId="10" xfId="76" applyFont="1" applyFill="1" applyBorder="1"/>
    <xf numFmtId="43" fontId="41" fillId="0" borderId="0" xfId="70" applyFont="1" applyFill="1" applyAlignment="1">
      <alignment horizontal="left" vertical="center"/>
    </xf>
    <xf numFmtId="0" fontId="40" fillId="0" borderId="6" xfId="76" applyNumberFormat="1" applyFont="1" applyFill="1" applyBorder="1" applyAlignment="1">
      <alignment horizontal="center" vertical="center"/>
    </xf>
    <xf numFmtId="43" fontId="40" fillId="0" borderId="6" xfId="76" applyFont="1" applyFill="1" applyBorder="1" applyAlignment="1">
      <alignment horizontal="left" vertical="center"/>
    </xf>
    <xf numFmtId="43" fontId="41" fillId="0" borderId="6" xfId="76" applyFont="1" applyFill="1" applyBorder="1" applyAlignment="1">
      <alignment horizontal="center"/>
    </xf>
    <xf numFmtId="43" fontId="41" fillId="0" borderId="10" xfId="76" applyFont="1" applyFill="1" applyBorder="1" applyAlignment="1">
      <alignment horizontal="center" vertical="center"/>
    </xf>
    <xf numFmtId="0" fontId="41" fillId="0" borderId="6" xfId="70" applyNumberFormat="1" applyFont="1" applyFill="1" applyBorder="1" applyAlignment="1">
      <alignment horizontal="center" vertical="center"/>
    </xf>
    <xf numFmtId="43" fontId="41" fillId="0" borderId="14" xfId="70" applyFont="1" applyFill="1" applyBorder="1" applyAlignment="1">
      <alignment horizontal="left" vertical="center" wrapText="1"/>
    </xf>
    <xf numFmtId="43" fontId="41" fillId="0" borderId="6" xfId="70" applyFont="1" applyFill="1" applyBorder="1" applyAlignment="1">
      <alignment horizontal="right" vertical="center"/>
    </xf>
    <xf numFmtId="43" fontId="41" fillId="0" borderId="6" xfId="76" applyFont="1" applyFill="1" applyBorder="1" applyAlignment="1">
      <alignment vertical="center"/>
    </xf>
    <xf numFmtId="43" fontId="40" fillId="0" borderId="6" xfId="76" applyFont="1" applyFill="1" applyBorder="1" applyAlignment="1">
      <alignment vertical="center"/>
    </xf>
    <xf numFmtId="43" fontId="41" fillId="0" borderId="6" xfId="76" applyFont="1" applyFill="1" applyBorder="1" applyAlignment="1">
      <alignment horizontal="left" vertical="center"/>
    </xf>
    <xf numFmtId="0" fontId="40" fillId="0" borderId="6" xfId="70" applyNumberFormat="1" applyFont="1" applyFill="1" applyBorder="1" applyAlignment="1">
      <alignment horizontal="center" vertical="center"/>
    </xf>
    <xf numFmtId="43" fontId="40" fillId="0" borderId="31" xfId="70" applyFont="1" applyFill="1" applyBorder="1" applyAlignment="1">
      <alignment horizontal="left" vertical="center"/>
    </xf>
    <xf numFmtId="43" fontId="41" fillId="0" borderId="5" xfId="70" applyFont="1" applyFill="1" applyBorder="1" applyAlignment="1">
      <alignment horizontal="right" vertical="center"/>
    </xf>
    <xf numFmtId="43" fontId="40" fillId="0" borderId="6" xfId="70" applyFont="1" applyFill="1" applyBorder="1" applyAlignment="1">
      <alignment horizontal="center" vertical="center"/>
    </xf>
    <xf numFmtId="43" fontId="41" fillId="0" borderId="6" xfId="70" applyFont="1" applyFill="1" applyBorder="1" applyAlignment="1">
      <alignment horizontal="left" vertical="center"/>
    </xf>
    <xf numFmtId="43" fontId="41" fillId="0" borderId="21" xfId="70" applyFont="1" applyFill="1" applyBorder="1" applyAlignment="1">
      <alignment horizontal="left" vertical="center"/>
    </xf>
    <xf numFmtId="43" fontId="41" fillId="0" borderId="5" xfId="70" applyFont="1" applyFill="1" applyBorder="1" applyAlignment="1">
      <alignment vertical="center"/>
    </xf>
    <xf numFmtId="181" fontId="41" fillId="0" borderId="6" xfId="85" applyNumberFormat="1" applyFont="1" applyFill="1" applyBorder="1" applyAlignment="1">
      <alignment horizontal="center" vertical="top"/>
    </xf>
    <xf numFmtId="43" fontId="41" fillId="0" borderId="6" xfId="70" applyFont="1" applyFill="1" applyBorder="1" applyAlignment="1">
      <alignment horizontal="center" vertical="top"/>
    </xf>
    <xf numFmtId="165" fontId="41" fillId="0" borderId="10" xfId="86" applyFont="1" applyFill="1" applyBorder="1" applyAlignment="1">
      <alignment horizontal="center" vertical="top"/>
    </xf>
    <xf numFmtId="4" fontId="41" fillId="0" borderId="14" xfId="85" applyNumberFormat="1" applyFont="1" applyFill="1" applyBorder="1" applyAlignment="1">
      <alignment vertical="top"/>
    </xf>
    <xf numFmtId="4" fontId="41" fillId="0" borderId="6" xfId="85" applyNumberFormat="1" applyFont="1" applyFill="1" applyBorder="1" applyAlignment="1">
      <alignment vertical="top"/>
    </xf>
    <xf numFmtId="4" fontId="41" fillId="0" borderId="10" xfId="85" applyNumberFormat="1" applyFont="1" applyFill="1" applyBorder="1" applyAlignment="1">
      <alignment vertical="top"/>
    </xf>
    <xf numFmtId="0" fontId="40" fillId="0" borderId="5" xfId="70" applyNumberFormat="1" applyFont="1" applyFill="1" applyBorder="1" applyAlignment="1">
      <alignment horizontal="center" vertical="center"/>
    </xf>
    <xf numFmtId="43" fontId="41" fillId="0" borderId="14" xfId="70" applyFont="1" applyFill="1" applyBorder="1" applyAlignment="1">
      <alignment horizontal="left" vertical="center"/>
    </xf>
    <xf numFmtId="43" fontId="40" fillId="0" borderId="5" xfId="70" applyFont="1" applyFill="1" applyBorder="1" applyAlignment="1">
      <alignment horizontal="center" vertical="center"/>
    </xf>
    <xf numFmtId="43" fontId="41" fillId="0" borderId="13" xfId="70" applyFont="1" applyFill="1" applyBorder="1" applyAlignment="1">
      <alignment horizontal="left" vertical="center"/>
    </xf>
    <xf numFmtId="43" fontId="41" fillId="0" borderId="6" xfId="76" applyFont="1" applyFill="1" applyBorder="1" applyAlignment="1">
      <alignment vertical="center" wrapText="1"/>
    </xf>
    <xf numFmtId="43" fontId="41" fillId="0" borderId="6" xfId="70" applyFont="1" applyFill="1" applyBorder="1" applyAlignment="1">
      <alignment vertical="center"/>
    </xf>
    <xf numFmtId="43" fontId="41" fillId="0" borderId="10" xfId="76" applyFont="1" applyFill="1" applyBorder="1" applyAlignment="1">
      <alignment vertical="center"/>
    </xf>
    <xf numFmtId="43" fontId="42" fillId="0" borderId="6" xfId="76" applyFont="1" applyFill="1" applyBorder="1" applyAlignment="1">
      <alignment horizontal="left" vertical="center"/>
    </xf>
    <xf numFmtId="0" fontId="40" fillId="0" borderId="6" xfId="76" applyNumberFormat="1" applyFont="1" applyFill="1" applyBorder="1" applyAlignment="1">
      <alignment horizontal="right" vertical="center"/>
    </xf>
    <xf numFmtId="43" fontId="41" fillId="0" borderId="5" xfId="76" applyFont="1" applyFill="1" applyBorder="1" applyAlignment="1">
      <alignment wrapText="1"/>
    </xf>
    <xf numFmtId="43" fontId="41" fillId="0" borderId="21" xfId="70" applyFont="1" applyFill="1" applyBorder="1" applyAlignment="1">
      <alignment vertical="center"/>
    </xf>
    <xf numFmtId="43" fontId="41" fillId="0" borderId="21" xfId="70" applyFont="1" applyFill="1" applyBorder="1" applyAlignment="1">
      <alignment horizontal="center" vertical="center"/>
    </xf>
    <xf numFmtId="43" fontId="41" fillId="0" borderId="31" xfId="70" applyFont="1" applyFill="1" applyBorder="1" applyAlignment="1">
      <alignment horizontal="center" vertical="center"/>
    </xf>
    <xf numFmtId="43" fontId="41" fillId="0" borderId="32" xfId="70" applyFont="1" applyFill="1" applyBorder="1" applyAlignment="1">
      <alignment vertical="center"/>
    </xf>
    <xf numFmtId="43" fontId="41" fillId="0" borderId="32" xfId="70" applyFont="1" applyFill="1" applyBorder="1" applyAlignment="1">
      <alignment horizontal="center" vertical="center"/>
    </xf>
    <xf numFmtId="43" fontId="40" fillId="0" borderId="21" xfId="70" applyFont="1" applyFill="1" applyBorder="1" applyAlignment="1">
      <alignment horizontal="center" vertical="center"/>
    </xf>
    <xf numFmtId="0" fontId="40" fillId="0" borderId="25" xfId="70" applyNumberFormat="1" applyFont="1" applyFill="1" applyBorder="1" applyAlignment="1">
      <alignment horizontal="center" vertical="center"/>
    </xf>
    <xf numFmtId="43" fontId="41" fillId="0" borderId="25" xfId="70" applyFont="1" applyFill="1" applyBorder="1" applyAlignment="1">
      <alignment horizontal="right" vertical="center"/>
    </xf>
    <xf numFmtId="43" fontId="40" fillId="0" borderId="25" xfId="70" applyFont="1" applyFill="1" applyBorder="1" applyAlignment="1">
      <alignment horizontal="center" vertical="center"/>
    </xf>
    <xf numFmtId="0" fontId="41" fillId="0" borderId="6" xfId="76" applyNumberFormat="1" applyFont="1" applyFill="1" applyBorder="1" applyAlignment="1">
      <alignment horizontal="center" vertical="center"/>
    </xf>
    <xf numFmtId="0" fontId="41" fillId="0" borderId="5" xfId="70" applyNumberFormat="1" applyFont="1" applyFill="1" applyBorder="1" applyAlignment="1">
      <alignment horizontal="center" vertical="center"/>
    </xf>
    <xf numFmtId="2" fontId="41" fillId="0" borderId="6" xfId="70" applyNumberFormat="1" applyFont="1" applyFill="1" applyBorder="1" applyAlignment="1">
      <alignment horizontal="center" vertical="center"/>
    </xf>
    <xf numFmtId="2" fontId="41" fillId="0" borderId="5" xfId="70" applyNumberFormat="1" applyFont="1" applyFill="1" applyBorder="1" applyAlignment="1">
      <alignment horizontal="center" vertical="center"/>
    </xf>
    <xf numFmtId="2" fontId="41" fillId="0" borderId="6" xfId="76" applyNumberFormat="1" applyFont="1" applyFill="1" applyBorder="1" applyAlignment="1">
      <alignment horizontal="center" vertical="center"/>
    </xf>
    <xf numFmtId="43" fontId="32" fillId="0" borderId="0" xfId="70" applyFont="1" applyAlignment="1">
      <alignment vertical="center"/>
    </xf>
    <xf numFmtId="9" fontId="32" fillId="0" borderId="0" xfId="87" applyFont="1" applyAlignment="1">
      <alignment vertical="center"/>
    </xf>
    <xf numFmtId="43" fontId="32" fillId="0" borderId="0" xfId="0" applyNumberFormat="1" applyFont="1" applyAlignment="1">
      <alignment vertical="center"/>
    </xf>
    <xf numFmtId="43" fontId="40" fillId="0" borderId="0" xfId="70" applyFont="1" applyFill="1" applyAlignment="1">
      <alignment horizontal="left" vertical="center"/>
    </xf>
    <xf numFmtId="43" fontId="40" fillId="0" borderId="8" xfId="70" applyFont="1" applyFill="1" applyBorder="1" applyAlignment="1">
      <alignment horizontal="center" vertical="center"/>
    </xf>
    <xf numFmtId="43" fontId="40" fillId="0" borderId="9" xfId="70" applyFont="1" applyFill="1" applyBorder="1" applyAlignment="1">
      <alignment horizontal="center" vertical="center"/>
    </xf>
    <xf numFmtId="0" fontId="41" fillId="0" borderId="6" xfId="75" applyFont="1" applyBorder="1" applyAlignment="1">
      <alignment horizontal="center" vertical="center"/>
    </xf>
    <xf numFmtId="0" fontId="41" fillId="0" borderId="6" xfId="0" applyFont="1" applyBorder="1"/>
    <xf numFmtId="165" fontId="41" fillId="0" borderId="6" xfId="84" applyNumberFormat="1" applyFont="1" applyBorder="1" applyAlignment="1">
      <alignment horizontal="center" vertical="top"/>
    </xf>
    <xf numFmtId="0" fontId="40" fillId="0" borderId="6" xfId="83" applyFont="1" applyBorder="1" applyAlignment="1">
      <alignment horizontal="center" vertical="top"/>
    </xf>
    <xf numFmtId="0" fontId="40" fillId="0" borderId="6" xfId="83" quotePrefix="1" applyFont="1" applyBorder="1" applyAlignment="1">
      <alignment horizontal="left" vertical="top" wrapText="1"/>
    </xf>
    <xf numFmtId="0" fontId="40" fillId="0" borderId="30" xfId="70" applyNumberFormat="1" applyFont="1" applyFill="1" applyBorder="1" applyAlignment="1" applyProtection="1">
      <alignment horizontal="center" vertical="center"/>
    </xf>
    <xf numFmtId="43" fontId="40" fillId="0" borderId="30" xfId="70" applyFont="1" applyFill="1" applyBorder="1" applyAlignment="1" applyProtection="1">
      <alignment horizontal="center" vertical="center" shrinkToFit="1"/>
    </xf>
    <xf numFmtId="43" fontId="41" fillId="0" borderId="30" xfId="70" applyFont="1" applyFill="1" applyBorder="1" applyAlignment="1" applyProtection="1">
      <alignment horizontal="center" vertical="center"/>
    </xf>
    <xf numFmtId="43" fontId="41" fillId="0" borderId="30" xfId="70" applyFont="1" applyFill="1" applyBorder="1" applyAlignment="1">
      <alignment vertical="center"/>
    </xf>
    <xf numFmtId="43" fontId="41" fillId="0" borderId="30" xfId="70" applyFont="1" applyFill="1" applyBorder="1" applyAlignment="1">
      <alignment horizontal="center" vertical="center"/>
    </xf>
    <xf numFmtId="43" fontId="40" fillId="0" borderId="30" xfId="70" applyFont="1" applyFill="1" applyBorder="1" applyAlignment="1">
      <alignment horizontal="center" vertical="center"/>
    </xf>
    <xf numFmtId="43" fontId="43" fillId="0" borderId="0" xfId="70" applyFont="1" applyFill="1" applyAlignment="1">
      <alignment horizontal="left" vertical="center"/>
    </xf>
    <xf numFmtId="0" fontId="40" fillId="0" borderId="32" xfId="70" applyNumberFormat="1" applyFont="1" applyFill="1" applyBorder="1" applyAlignment="1">
      <alignment horizontal="center" vertical="center"/>
    </xf>
    <xf numFmtId="43" fontId="40" fillId="0" borderId="32" xfId="70" applyFont="1" applyFill="1" applyBorder="1" applyAlignment="1">
      <alignment horizontal="center" vertical="center"/>
    </xf>
    <xf numFmtId="43" fontId="43" fillId="0" borderId="0" xfId="70" applyFont="1" applyFill="1" applyAlignment="1">
      <alignment vertical="center"/>
    </xf>
    <xf numFmtId="181" fontId="41" fillId="0" borderId="0" xfId="70" applyNumberFormat="1" applyFont="1" applyFill="1" applyAlignment="1">
      <alignment horizontal="center" vertical="center"/>
    </xf>
    <xf numFmtId="181" fontId="41" fillId="0" borderId="0" xfId="70" applyNumberFormat="1" applyFont="1" applyFill="1" applyAlignment="1">
      <alignment vertical="center"/>
    </xf>
    <xf numFmtId="0" fontId="41" fillId="0" borderId="0" xfId="0" applyFont="1"/>
    <xf numFmtId="43" fontId="45" fillId="0" borderId="6" xfId="70" applyFont="1" applyFill="1" applyBorder="1" applyAlignment="1">
      <alignment vertical="center"/>
    </xf>
    <xf numFmtId="43" fontId="40" fillId="0" borderId="26" xfId="70" applyFont="1" applyFill="1" applyBorder="1" applyAlignment="1">
      <alignment horizontal="left" vertical="center"/>
    </xf>
    <xf numFmtId="43" fontId="41" fillId="0" borderId="25" xfId="70" applyFont="1" applyFill="1" applyBorder="1" applyAlignment="1">
      <alignment horizontal="center" vertical="center"/>
    </xf>
    <xf numFmtId="166" fontId="30" fillId="6" borderId="10" xfId="60" applyNumberFormat="1" applyFont="1" applyFill="1" applyBorder="1" applyAlignment="1">
      <alignment horizontal="left"/>
    </xf>
    <xf numFmtId="43" fontId="41" fillId="0" borderId="6" xfId="70" applyFont="1" applyFill="1" applyBorder="1"/>
    <xf numFmtId="43" fontId="41" fillId="0" borderId="14" xfId="70" applyFont="1" applyFill="1" applyBorder="1" applyAlignment="1">
      <alignment vertical="top"/>
    </xf>
    <xf numFmtId="43" fontId="41" fillId="0" borderId="14" xfId="85" applyNumberFormat="1" applyFont="1" applyFill="1" applyBorder="1" applyAlignment="1">
      <alignment vertical="top"/>
    </xf>
    <xf numFmtId="43" fontId="41" fillId="0" borderId="14" xfId="70" applyFont="1" applyFill="1" applyBorder="1" applyAlignment="1">
      <alignment horizontal="center" vertical="center"/>
    </xf>
    <xf numFmtId="43" fontId="41" fillId="0" borderId="31" xfId="70" applyFont="1" applyFill="1" applyBorder="1" applyAlignment="1">
      <alignment horizontal="right" vertical="center"/>
    </xf>
    <xf numFmtId="43" fontId="40" fillId="0" borderId="6" xfId="70" applyFont="1" applyFill="1" applyBorder="1" applyAlignment="1">
      <alignment horizontal="left" vertical="center"/>
    </xf>
    <xf numFmtId="43" fontId="41" fillId="0" borderId="0" xfId="70" applyFont="1" applyFill="1" applyAlignment="1">
      <alignment vertical="center"/>
    </xf>
    <xf numFmtId="43" fontId="40" fillId="0" borderId="0" xfId="70" applyFont="1" applyFill="1" applyAlignment="1">
      <alignment horizontal="center" vertical="center"/>
    </xf>
    <xf numFmtId="43" fontId="40" fillId="0" borderId="8" xfId="70" applyFont="1" applyFill="1" applyBorder="1" applyAlignment="1">
      <alignment horizontal="center" vertical="center"/>
    </xf>
    <xf numFmtId="43" fontId="40" fillId="0" borderId="9" xfId="70" applyFont="1" applyFill="1" applyBorder="1" applyAlignment="1">
      <alignment vertical="center"/>
    </xf>
    <xf numFmtId="43" fontId="40" fillId="0" borderId="9" xfId="70" applyFont="1" applyFill="1" applyBorder="1" applyAlignment="1">
      <alignment horizontal="center" vertical="center"/>
    </xf>
    <xf numFmtId="43" fontId="40" fillId="0" borderId="19" xfId="70" applyFont="1" applyFill="1" applyBorder="1" applyAlignment="1">
      <alignment horizontal="center" vertical="center"/>
    </xf>
    <xf numFmtId="43" fontId="40" fillId="0" borderId="20" xfId="70" applyFont="1" applyFill="1" applyBorder="1" applyAlignment="1">
      <alignment horizontal="center" vertical="center"/>
    </xf>
    <xf numFmtId="166" fontId="37" fillId="6" borderId="0" xfId="60" quotePrefix="1" applyNumberFormat="1" applyFont="1" applyFill="1" applyBorder="1" applyAlignment="1">
      <alignment horizontal="center" vertical="center"/>
    </xf>
    <xf numFmtId="166" fontId="34" fillId="6" borderId="0" xfId="60" applyNumberFormat="1" applyFont="1" applyFill="1" applyAlignment="1">
      <alignment horizontal="center"/>
    </xf>
    <xf numFmtId="166" fontId="36" fillId="11" borderId="8" xfId="60" applyNumberFormat="1" applyFont="1" applyFill="1" applyBorder="1" applyAlignment="1">
      <alignment horizontal="center" vertical="center"/>
    </xf>
    <xf numFmtId="166" fontId="36" fillId="11" borderId="9" xfId="60" applyNumberFormat="1" applyFont="1" applyFill="1" applyBorder="1" applyAlignment="1">
      <alignment horizontal="center" vertical="center"/>
    </xf>
    <xf numFmtId="166" fontId="35" fillId="0" borderId="27" xfId="60" applyNumberFormat="1" applyFont="1" applyBorder="1" applyAlignment="1">
      <alignment horizontal="right"/>
    </xf>
    <xf numFmtId="166" fontId="35" fillId="0" borderId="16" xfId="60" applyNumberFormat="1" applyFont="1" applyBorder="1" applyAlignment="1">
      <alignment horizontal="right"/>
    </xf>
    <xf numFmtId="166" fontId="32" fillId="0" borderId="0" xfId="60" applyNumberFormat="1" applyFont="1" applyAlignment="1">
      <alignment horizontal="left" vertical="center"/>
    </xf>
    <xf numFmtId="0" fontId="36" fillId="11" borderId="9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166" fontId="32" fillId="0" borderId="0" xfId="60" applyNumberFormat="1" applyFont="1" applyAlignment="1">
      <alignment horizontal="center"/>
    </xf>
    <xf numFmtId="166" fontId="37" fillId="6" borderId="0" xfId="60" quotePrefix="1" applyNumberFormat="1" applyFont="1" applyFill="1" applyBorder="1" applyAlignment="1">
      <alignment horizontal="left" vertical="center"/>
    </xf>
    <xf numFmtId="166" fontId="35" fillId="8" borderId="8" xfId="60" applyNumberFormat="1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vertical="center"/>
    </xf>
    <xf numFmtId="166" fontId="29" fillId="0" borderId="0" xfId="60" applyNumberFormat="1" applyFont="1" applyAlignment="1">
      <alignment horizontal="left" vertical="center"/>
    </xf>
    <xf numFmtId="166" fontId="35" fillId="0" borderId="0" xfId="60" applyNumberFormat="1" applyFont="1" applyBorder="1" applyAlignment="1">
      <alignment horizontal="center"/>
    </xf>
    <xf numFmtId="166" fontId="35" fillId="0" borderId="24" xfId="60" applyNumberFormat="1" applyFont="1" applyBorder="1" applyAlignment="1">
      <alignment horizontal="center"/>
    </xf>
    <xf numFmtId="166" fontId="32" fillId="6" borderId="7" xfId="60" applyNumberFormat="1" applyFont="1" applyFill="1" applyBorder="1" applyAlignment="1">
      <alignment horizontal="left"/>
    </xf>
    <xf numFmtId="166" fontId="30" fillId="6" borderId="10" xfId="60" applyNumberFormat="1" applyFont="1" applyFill="1" applyBorder="1" applyAlignment="1">
      <alignment horizontal="left"/>
    </xf>
    <xf numFmtId="166" fontId="32" fillId="6" borderId="10" xfId="60" applyNumberFormat="1" applyFont="1" applyFill="1" applyBorder="1" applyAlignment="1">
      <alignment horizontal="left"/>
    </xf>
    <xf numFmtId="166" fontId="35" fillId="8" borderId="9" xfId="60" applyNumberFormat="1" applyFont="1" applyFill="1" applyBorder="1" applyAlignment="1">
      <alignment horizontal="center" vertical="center"/>
    </xf>
    <xf numFmtId="166" fontId="35" fillId="6" borderId="8" xfId="60" applyNumberFormat="1" applyFont="1" applyFill="1" applyBorder="1" applyAlignment="1">
      <alignment horizontal="center" vertical="center"/>
    </xf>
    <xf numFmtId="166" fontId="35" fillId="6" borderId="21" xfId="60" applyNumberFormat="1" applyFont="1" applyFill="1" applyBorder="1" applyAlignment="1">
      <alignment horizontal="center" vertical="center"/>
    </xf>
    <xf numFmtId="166" fontId="35" fillId="6" borderId="9" xfId="60" applyNumberFormat="1" applyFont="1" applyFill="1" applyBorder="1" applyAlignment="1">
      <alignment horizontal="center" vertical="center"/>
    </xf>
    <xf numFmtId="166" fontId="33" fillId="0" borderId="0" xfId="60" applyNumberFormat="1" applyFont="1" applyAlignment="1">
      <alignment horizontal="center" vertical="center"/>
    </xf>
    <xf numFmtId="166" fontId="34" fillId="0" borderId="0" xfId="60" applyNumberFormat="1" applyFont="1" applyAlignment="1">
      <alignment horizontal="center" vertical="center"/>
    </xf>
    <xf numFmtId="166" fontId="35" fillId="13" borderId="8" xfId="60" applyNumberFormat="1" applyFont="1" applyFill="1" applyBorder="1" applyAlignment="1">
      <alignment horizontal="center" vertical="center"/>
    </xf>
    <xf numFmtId="0" fontId="35" fillId="13" borderId="9" xfId="0" applyFont="1" applyFill="1" applyBorder="1" applyAlignment="1">
      <alignment horizontal="center" vertical="center"/>
    </xf>
    <xf numFmtId="166" fontId="35" fillId="13" borderId="9" xfId="60" applyNumberFormat="1" applyFont="1" applyFill="1" applyBorder="1" applyAlignment="1">
      <alignment horizontal="center" vertical="center"/>
    </xf>
  </cellXfs>
  <cellStyles count="88">
    <cellStyle name=",;F'KOIT[[WAAHK" xfId="1" xr:uid="{00000000-0005-0000-0000-000000000000}"/>
    <cellStyle name="?? [0.00]_????" xfId="2" xr:uid="{00000000-0005-0000-0000-000001000000}"/>
    <cellStyle name="?? [0]_PERSONAL" xfId="3" xr:uid="{00000000-0005-0000-0000-000002000000}"/>
    <cellStyle name="???? [0.00]_????" xfId="4" xr:uid="{00000000-0005-0000-0000-000003000000}"/>
    <cellStyle name="??????[0]_PERSONAL" xfId="5" xr:uid="{00000000-0005-0000-0000-000004000000}"/>
    <cellStyle name="??????PERSONAL" xfId="6" xr:uid="{00000000-0005-0000-0000-000005000000}"/>
    <cellStyle name="?????[0]_PERSONAL" xfId="7" xr:uid="{00000000-0005-0000-0000-000006000000}"/>
    <cellStyle name="?????PERSONAL" xfId="8" xr:uid="{00000000-0005-0000-0000-000007000000}"/>
    <cellStyle name="????_????" xfId="9" xr:uid="{00000000-0005-0000-0000-000008000000}"/>
    <cellStyle name="???[0]_PERSONAL" xfId="10" xr:uid="{00000000-0005-0000-0000-000009000000}"/>
    <cellStyle name="???_PERSONAL" xfId="11" xr:uid="{00000000-0005-0000-0000-00000A000000}"/>
    <cellStyle name="??_??" xfId="12" xr:uid="{00000000-0005-0000-0000-00000B000000}"/>
    <cellStyle name="?@??laroux" xfId="13" xr:uid="{00000000-0005-0000-0000-00000C000000}"/>
    <cellStyle name="=C:\WINDOWS\SYSTEM32\COMMAND.COM" xfId="14" xr:uid="{00000000-0005-0000-0000-00000D000000}"/>
    <cellStyle name="a" xfId="64" xr:uid="{00000000-0005-0000-0000-00000E000000}"/>
    <cellStyle name="abc" xfId="15" xr:uid="{00000000-0005-0000-0000-00000F000000}"/>
    <cellStyle name="Calc Currency (0)" xfId="16" xr:uid="{00000000-0005-0000-0000-000010000000}"/>
    <cellStyle name="Calc Currency (2)" xfId="17" xr:uid="{00000000-0005-0000-0000-000011000000}"/>
    <cellStyle name="Calc Percent (0)" xfId="18" xr:uid="{00000000-0005-0000-0000-000012000000}"/>
    <cellStyle name="Calc Percent (1)" xfId="19" xr:uid="{00000000-0005-0000-0000-000013000000}"/>
    <cellStyle name="Calc Percent (2)" xfId="20" xr:uid="{00000000-0005-0000-0000-000014000000}"/>
    <cellStyle name="Calc Units (0)" xfId="21" xr:uid="{00000000-0005-0000-0000-000015000000}"/>
    <cellStyle name="Calc Units (1)" xfId="22" xr:uid="{00000000-0005-0000-0000-000016000000}"/>
    <cellStyle name="Calc Units (2)" xfId="23" xr:uid="{00000000-0005-0000-0000-000017000000}"/>
    <cellStyle name="Comma" xfId="70" builtinId="3"/>
    <cellStyle name="Comma [00]" xfId="24" xr:uid="{00000000-0005-0000-0000-000019000000}"/>
    <cellStyle name="Comma 10" xfId="86" xr:uid="{D4114BC1-1B0A-487C-9C06-9480CE04BF15}"/>
    <cellStyle name="Comma 2" xfId="65" xr:uid="{00000000-0005-0000-0000-00001A000000}"/>
    <cellStyle name="Comma 2 2" xfId="76" xr:uid="{00000000-0005-0000-0000-00001B000000}"/>
    <cellStyle name="Comma 2 4" xfId="85" xr:uid="{AB87A18A-B25B-46C8-9F4E-D52C6AB6EA41}"/>
    <cellStyle name="company_title" xfId="25" xr:uid="{00000000-0005-0000-0000-00001C000000}"/>
    <cellStyle name="Currency [00]" xfId="26" xr:uid="{00000000-0005-0000-0000-00001D000000}"/>
    <cellStyle name="Date Short" xfId="27" xr:uid="{00000000-0005-0000-0000-00001E000000}"/>
    <cellStyle name="date_format" xfId="28" xr:uid="{00000000-0005-0000-0000-00001F000000}"/>
    <cellStyle name="Enter Currency (0)" xfId="29" xr:uid="{00000000-0005-0000-0000-000020000000}"/>
    <cellStyle name="Enter Currency (2)" xfId="30" xr:uid="{00000000-0005-0000-0000-000021000000}"/>
    <cellStyle name="Enter Units (0)" xfId="31" xr:uid="{00000000-0005-0000-0000-000022000000}"/>
    <cellStyle name="Enter Units (1)" xfId="32" xr:uid="{00000000-0005-0000-0000-000023000000}"/>
    <cellStyle name="Enter Units (2)" xfId="33" xr:uid="{00000000-0005-0000-0000-000024000000}"/>
    <cellStyle name="Grey" xfId="34" xr:uid="{00000000-0005-0000-0000-000025000000}"/>
    <cellStyle name="Header1" xfId="35" xr:uid="{00000000-0005-0000-0000-000026000000}"/>
    <cellStyle name="Header2" xfId="36" xr:uid="{00000000-0005-0000-0000-000027000000}"/>
    <cellStyle name="Input [yellow]" xfId="37" xr:uid="{00000000-0005-0000-0000-000028000000}"/>
    <cellStyle name="Link Currency (0)" xfId="38" xr:uid="{00000000-0005-0000-0000-000029000000}"/>
    <cellStyle name="Link Currency (2)" xfId="39" xr:uid="{00000000-0005-0000-0000-00002A000000}"/>
    <cellStyle name="Link Units (0)" xfId="40" xr:uid="{00000000-0005-0000-0000-00002B000000}"/>
    <cellStyle name="Link Units (1)" xfId="41" xr:uid="{00000000-0005-0000-0000-00002C000000}"/>
    <cellStyle name="Link Units (2)" xfId="42" xr:uid="{00000000-0005-0000-0000-00002D000000}"/>
    <cellStyle name="no dec" xfId="66" xr:uid="{00000000-0005-0000-0000-00002E000000}"/>
    <cellStyle name="Normal" xfId="0" builtinId="0"/>
    <cellStyle name="Normal - Style1" xfId="43" xr:uid="{00000000-0005-0000-0000-000030000000}"/>
    <cellStyle name="Normal 2" xfId="75" xr:uid="{00000000-0005-0000-0000-000031000000}"/>
    <cellStyle name="Normal 2 3" xfId="83" xr:uid="{FBBD1344-8810-4226-8FB1-2702D27B150F}"/>
    <cellStyle name="Normal 2 4" xfId="77" xr:uid="{00000000-0005-0000-0000-000032000000}"/>
    <cellStyle name="Normal 3" xfId="79" xr:uid="{00000000-0005-0000-0000-000033000000}"/>
    <cellStyle name="Normal_KS_01_BOQ" xfId="84" xr:uid="{3A1DFC15-12CF-454C-A28F-B0D292844EEB}"/>
    <cellStyle name="ParaBirimi [0]_RESULTS" xfId="44" xr:uid="{00000000-0005-0000-0000-000034000000}"/>
    <cellStyle name="ParaBirimi_RESULTS" xfId="45" xr:uid="{00000000-0005-0000-0000-000035000000}"/>
    <cellStyle name="Percent" xfId="87" builtinId="5"/>
    <cellStyle name="Percent [0]" xfId="46" xr:uid="{00000000-0005-0000-0000-000036000000}"/>
    <cellStyle name="Percent [00]" xfId="47" xr:uid="{00000000-0005-0000-0000-000037000000}"/>
    <cellStyle name="Percent [2]" xfId="48" xr:uid="{00000000-0005-0000-0000-000038000000}"/>
    <cellStyle name="PrePop Currency (0)" xfId="49" xr:uid="{00000000-0005-0000-0000-000039000000}"/>
    <cellStyle name="PrePop Currency (2)" xfId="50" xr:uid="{00000000-0005-0000-0000-00003A000000}"/>
    <cellStyle name="PrePop Units (0)" xfId="51" xr:uid="{00000000-0005-0000-0000-00003B000000}"/>
    <cellStyle name="PrePop Units (1)" xfId="52" xr:uid="{00000000-0005-0000-0000-00003C000000}"/>
    <cellStyle name="PrePop Units (2)" xfId="53" xr:uid="{00000000-0005-0000-0000-00003D000000}"/>
    <cellStyle name="report_title" xfId="54" xr:uid="{00000000-0005-0000-0000-00003E000000}"/>
    <cellStyle name="Text Indent A" xfId="55" xr:uid="{00000000-0005-0000-0000-00003F000000}"/>
    <cellStyle name="Text Indent B" xfId="56" xr:uid="{00000000-0005-0000-0000-000040000000}"/>
    <cellStyle name="Text Indent C" xfId="57" xr:uid="{00000000-0005-0000-0000-000041000000}"/>
    <cellStyle name="Virg? [0]_RESULTS" xfId="58" xr:uid="{00000000-0005-0000-0000-000042000000}"/>
    <cellStyle name="Virg?_RESULTS" xfId="59" xr:uid="{00000000-0005-0000-0000-000043000000}"/>
    <cellStyle name="เครื่องหมายจุลภาค 10" xfId="78" xr:uid="{00000000-0005-0000-0000-000044000000}"/>
    <cellStyle name="เครื่องหมายจุลภาค 2" xfId="67" xr:uid="{00000000-0005-0000-0000-000045000000}"/>
    <cellStyle name="เครื่องหมายจุลภาค 2 2" xfId="62" xr:uid="{00000000-0005-0000-0000-000046000000}"/>
    <cellStyle name="เครื่องหมายจุลภาค 3" xfId="63" xr:uid="{00000000-0005-0000-0000-000047000000}"/>
    <cellStyle name="เครื่องหมายจุลภาค 4" xfId="72" xr:uid="{00000000-0005-0000-0000-000048000000}"/>
    <cellStyle name="เครื่องหมายจุลภาค 9" xfId="82" xr:uid="{440BC273-5184-4A1D-BE83-B3781819ECCD}"/>
    <cellStyle name="เครื่องหมายจุลภาค_5008 อาคารสำนักงานคณะกรรมการเลือกตั้งจ.ภูเก็ต" xfId="68" xr:uid="{00000000-0005-0000-0000-000049000000}"/>
    <cellStyle name="เครื่องหมายสกุลเงิน [0]_PERSONAL" xfId="60" xr:uid="{00000000-0005-0000-0000-00004A000000}"/>
    <cellStyle name="ปกติ 2" xfId="69" xr:uid="{00000000-0005-0000-0000-00004B000000}"/>
    <cellStyle name="ปกติ 2 2" xfId="61" xr:uid="{00000000-0005-0000-0000-00004C000000}"/>
    <cellStyle name="ปกติ 2 3" xfId="73" xr:uid="{00000000-0005-0000-0000-00004D000000}"/>
    <cellStyle name="ปกติ 3" xfId="74" xr:uid="{00000000-0005-0000-0000-00004E000000}"/>
    <cellStyle name="ปกติ 4" xfId="81" xr:uid="{FBE2716F-F7EC-41CF-8A97-64524F534926}"/>
    <cellStyle name="ปกติ 5" xfId="71" xr:uid="{00000000-0005-0000-0000-00004F000000}"/>
    <cellStyle name="ปกติ 7" xfId="80" xr:uid="{CC4789DB-580B-4B02-996B-9CC8DE04E643}"/>
  </cellStyles>
  <dxfs count="0"/>
  <tableStyles count="0" defaultTableStyle="TableStyleMedium9" defaultPivotStyle="PivotStyleLight16"/>
  <colors>
    <mruColors>
      <color rgb="FFFFCC00"/>
      <color rgb="FF0000CC"/>
      <color rgb="FFFFEEA7"/>
      <color rgb="FFFFEBFF"/>
      <color rgb="FFEAF0F6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muti365-my.sharepoint.com/personal/sayun_kh_rmuti_ac_th/Documents/&#3648;&#3629;&#3585;&#3626;&#3634;&#3619;%20&#3617;&#3607;&#3619;%20(&#3607;&#3635;&#3649;&#3610;&#3610;)/&#3591;&#3634;&#3609;%20(RMUTI)/&#3624;&#3641;&#3609;&#3618;&#3660;%20&#3627;&#3609;&#3629;&#3591;&#3619;&#3632;&#3648;&#3623;&#3637;&#3618;&#3591;/&#3627;&#3621;&#3633;&#3591;&#3588;&#3634;&#3588;&#3621;&#3640;&#3617;&#3627;&#3617;&#3657;&#3629;&#3649;&#3611;&#3621;&#3591;%20&#3609;&#3623;&#3633;&#3605;&#3585;&#3619;&#3619;&#3617;&#3585;&#3634;&#3619;&#3648;&#3585;&#3625;&#3605;&#3619;/3%20&#3611;&#3619;&#3636;&#3617;&#3634;&#3603;&#3649;&#3621;&#3632;&#3619;&#3634;&#3588;&#3634;0/BOQ_&#3627;&#3621;&#3633;&#3591;&#3588;&#3634;&#3627;&#3617;&#3657;&#3629;&#3649;&#3611;&#3621;&#3591;&#3609;&#3623;&#3633;&#3605;&#3585;&#3619;&#3619;&#3617;%20&#3649;&#3585;&#3657;&#3652;&#3586;3.xlsx" TargetMode="External"/><Relationship Id="rId1" Type="http://schemas.openxmlformats.org/officeDocument/2006/relationships/externalLinkPath" Target="/personal/sayun_kh_rmuti_ac_th/Documents/&#3648;&#3629;&#3585;&#3626;&#3634;&#3619;%20&#3617;&#3607;&#3619;%20(&#3607;&#3635;&#3649;&#3610;&#3610;)/&#3591;&#3634;&#3609;%20(RMUTI)/&#3624;&#3641;&#3609;&#3618;&#3660;%20&#3627;&#3609;&#3629;&#3591;&#3619;&#3632;&#3648;&#3623;&#3637;&#3618;&#3591;/&#3627;&#3621;&#3633;&#3591;&#3588;&#3634;&#3588;&#3621;&#3640;&#3617;&#3627;&#3617;&#3657;&#3629;&#3649;&#3611;&#3621;&#3591;%20&#3609;&#3623;&#3633;&#3605;&#3585;&#3619;&#3619;&#3617;&#3585;&#3634;&#3619;&#3648;&#3585;&#3625;&#3605;&#3619;/3%20&#3611;&#3619;&#3636;&#3617;&#3634;&#3603;&#3649;&#3621;&#3632;&#3619;&#3634;&#3588;&#3634;0/BOQ_&#3627;&#3621;&#3633;&#3591;&#3588;&#3634;&#3627;&#3617;&#3657;&#3629;&#3649;&#3611;&#3621;&#3591;&#3609;&#3623;&#3633;&#3605;&#3585;&#3619;&#3619;&#3617;%20&#3649;&#3585;&#3657;&#3652;&#3586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XXXXXXX"/>
      <sheetName val="ผ่อง"/>
      <sheetName val="รายละเอียดค่าใช้จ่ายพิเศษ"/>
      <sheetName val="ปร.4"/>
      <sheetName val="ปร.5(ก)"/>
      <sheetName val="ปร.6"/>
      <sheetName val="ชื่อโครงการ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แบบเลขที่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8"/>
  <sheetViews>
    <sheetView tabSelected="1" zoomScaleNormal="100" workbookViewId="0">
      <selection activeCell="U99" sqref="U99"/>
    </sheetView>
  </sheetViews>
  <sheetFormatPr defaultColWidth="9.33203125" defaultRowHeight="21" customHeight="1"/>
  <cols>
    <col min="1" max="1" width="8.83203125" style="99" customWidth="1"/>
    <col min="2" max="2" width="56.5" style="100" customWidth="1"/>
    <col min="3" max="3" width="10.83203125" style="101" customWidth="1"/>
    <col min="4" max="4" width="7" style="100" customWidth="1"/>
    <col min="5" max="5" width="14" style="100" customWidth="1"/>
    <col min="6" max="6" width="14.5" style="100" customWidth="1"/>
    <col min="7" max="7" width="11.6640625" style="100" customWidth="1"/>
    <col min="8" max="8" width="14.83203125" style="100" customWidth="1"/>
    <col min="9" max="9" width="15" style="100" customWidth="1"/>
    <col min="10" max="10" width="11.6640625" style="102" customWidth="1"/>
    <col min="11" max="11" width="4" style="100" customWidth="1"/>
    <col min="12" max="16384" width="9.33203125" style="100"/>
  </cols>
  <sheetData>
    <row r="1" spans="1:10" s="163" customFormat="1" ht="21" customHeight="1">
      <c r="A1" s="195" t="s">
        <v>11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112" customFormat="1" ht="21" customHeight="1">
      <c r="A2" s="95" t="str">
        <f>ชื่อโครงการ!A2</f>
        <v xml:space="preserve">ชื่อโครงการ :สำหรับการจ้าง ปรับปรุงโรงฝึกปฏิบัติงานออกแบบอุตสาหกรรม แห่งการเรียนรู้เพื่อผลิตบัณฑิตสู่อุตสาหกรรมสร้างสรรค์ </v>
      </c>
      <c r="B2" s="95"/>
      <c r="C2" s="94"/>
      <c r="D2" s="95"/>
      <c r="E2" s="95"/>
      <c r="F2" s="95"/>
      <c r="G2" s="95"/>
      <c r="H2" s="95"/>
      <c r="I2" s="95" t="s">
        <v>12</v>
      </c>
      <c r="J2" s="94"/>
    </row>
    <row r="3" spans="1:10" s="112" customFormat="1" ht="21" customHeight="1">
      <c r="A3" s="95" t="str">
        <f>ชื่อโครงการ!A3</f>
        <v xml:space="preserve">                 ตำบลในเมือง อำเภอเมืองนครราชสีมา จังหวัดนครราชสีมา จำนวน 1 รายการ</v>
      </c>
      <c r="B3" s="95"/>
      <c r="C3" s="94"/>
      <c r="D3" s="95"/>
      <c r="E3" s="95"/>
      <c r="F3" s="95"/>
      <c r="G3" s="95"/>
      <c r="H3" s="95"/>
      <c r="I3" s="95"/>
      <c r="J3" s="94"/>
    </row>
    <row r="4" spans="1:10" s="112" customFormat="1" ht="21" customHeight="1">
      <c r="A4" s="95" t="str">
        <f>ชื่อโครงการ!A4</f>
        <v>กลุ่มงาน : งานปรับปรุงอาคาร</v>
      </c>
      <c r="B4" s="95"/>
      <c r="C4" s="94"/>
      <c r="D4" s="95"/>
      <c r="E4" s="95"/>
      <c r="F4" s="95"/>
      <c r="G4" s="95"/>
      <c r="H4" s="95"/>
      <c r="I4" s="95"/>
      <c r="J4" s="94"/>
    </row>
    <row r="5" spans="1:10" s="112" customFormat="1" ht="21" customHeight="1">
      <c r="A5" s="97" t="str">
        <f>ชื่อโครงการ!A11</f>
        <v>สถานที่ก่อสร้าง : 744 ถนนสุรนารายณ์ ตำบลในเมือง อำเภอเมืองนครราชสีมา จังหวัดนครราชสีมา</v>
      </c>
      <c r="B5" s="97"/>
      <c r="C5" s="96"/>
      <c r="D5" s="97"/>
      <c r="E5" s="97"/>
      <c r="F5" s="97"/>
      <c r="G5" s="97" t="str">
        <f>[2]ชื่อโครงการ!B5</f>
        <v>แบบเลขที่</v>
      </c>
      <c r="H5" s="97"/>
      <c r="I5" s="97"/>
      <c r="J5" s="96"/>
    </row>
    <row r="6" spans="1:10" s="112" customFormat="1" ht="21" customHeight="1">
      <c r="A6" s="97" t="str">
        <f>ชื่อโครงการ!A13</f>
        <v>หน่วยงานเจ้าของโครงการ : คณะสถาปัตยกรรมศาสตร์และศิลปกรรมสร้างสรรค์ มหาวิทยาลัยเทคโนโลยีราชมงคลอีสาน</v>
      </c>
      <c r="B6" s="97"/>
      <c r="C6" s="96"/>
      <c r="D6" s="97"/>
      <c r="E6" s="97"/>
      <c r="F6" s="97"/>
      <c r="G6" s="97"/>
      <c r="H6" s="97"/>
      <c r="I6" s="97"/>
      <c r="J6" s="96"/>
    </row>
    <row r="7" spans="1:10" s="112" customFormat="1" ht="21" customHeight="1">
      <c r="A7" s="97" t="str">
        <f>ชื่อโครงการ!A9</f>
        <v>คำนวณราคากลาง : โดยคณะกรรมการกำหนดราคากลาง  เมื่อวันที่ 15  เดือน พฤษภาคม พ.ศ. 2567</v>
      </c>
      <c r="B7" s="97"/>
      <c r="C7" s="96"/>
      <c r="D7" s="97"/>
      <c r="E7" s="98"/>
      <c r="F7" s="98"/>
      <c r="G7" s="97"/>
      <c r="H7" s="98"/>
      <c r="I7" s="98"/>
      <c r="J7" s="96"/>
    </row>
    <row r="8" spans="1:10" ht="21" customHeight="1" thickBot="1">
      <c r="D8" s="101"/>
      <c r="J8" s="102" t="s">
        <v>3</v>
      </c>
    </row>
    <row r="9" spans="1:10" ht="21" customHeight="1" thickTop="1">
      <c r="A9" s="196" t="s">
        <v>6</v>
      </c>
      <c r="B9" s="196" t="s">
        <v>0</v>
      </c>
      <c r="C9" s="196" t="s">
        <v>4</v>
      </c>
      <c r="D9" s="196" t="s">
        <v>7</v>
      </c>
      <c r="E9" s="199" t="s">
        <v>13</v>
      </c>
      <c r="F9" s="200"/>
      <c r="G9" s="199" t="s">
        <v>14</v>
      </c>
      <c r="H9" s="200"/>
      <c r="I9" s="164" t="s">
        <v>15</v>
      </c>
      <c r="J9" s="196" t="s">
        <v>5</v>
      </c>
    </row>
    <row r="10" spans="1:10" ht="21" customHeight="1" thickBot="1">
      <c r="A10" s="197"/>
      <c r="B10" s="197"/>
      <c r="C10" s="198"/>
      <c r="D10" s="198"/>
      <c r="E10" s="165" t="s">
        <v>16</v>
      </c>
      <c r="F10" s="165" t="s">
        <v>8</v>
      </c>
      <c r="G10" s="165" t="s">
        <v>16</v>
      </c>
      <c r="H10" s="165" t="s">
        <v>8</v>
      </c>
      <c r="I10" s="165" t="s">
        <v>17</v>
      </c>
      <c r="J10" s="198"/>
    </row>
    <row r="11" spans="1:10" ht="21" customHeight="1" thickTop="1">
      <c r="A11" s="103"/>
      <c r="B11" s="104" t="s">
        <v>155</v>
      </c>
      <c r="C11" s="105"/>
      <c r="D11" s="106"/>
      <c r="E11" s="105"/>
      <c r="F11" s="107"/>
      <c r="G11" s="105"/>
      <c r="H11" s="107"/>
      <c r="I11" s="108"/>
      <c r="J11" s="107"/>
    </row>
    <row r="12" spans="1:10" ht="21" customHeight="1">
      <c r="A12" s="103">
        <v>1</v>
      </c>
      <c r="B12" s="104" t="s">
        <v>18</v>
      </c>
      <c r="C12" s="105"/>
      <c r="D12" s="106"/>
      <c r="E12" s="105"/>
      <c r="F12" s="107"/>
      <c r="G12" s="105"/>
      <c r="H12" s="107"/>
      <c r="I12" s="108"/>
      <c r="J12" s="107"/>
    </row>
    <row r="13" spans="1:10" s="112" customFormat="1" ht="21" customHeight="1">
      <c r="A13" s="166">
        <v>1.1000000000000001</v>
      </c>
      <c r="B13" s="167" t="s">
        <v>143</v>
      </c>
      <c r="C13" s="109">
        <v>1</v>
      </c>
      <c r="D13" s="109" t="s">
        <v>19</v>
      </c>
      <c r="E13" s="188">
        <v>0</v>
      </c>
      <c r="F13" s="110">
        <f>E13*C13</f>
        <v>0</v>
      </c>
      <c r="G13" s="109">
        <v>5000</v>
      </c>
      <c r="H13" s="110">
        <f t="shared" ref="H13" si="0">G13*C13</f>
        <v>5000</v>
      </c>
      <c r="I13" s="111">
        <f>F13+H13</f>
        <v>5000</v>
      </c>
      <c r="J13" s="166"/>
    </row>
    <row r="14" spans="1:10" ht="21" customHeight="1">
      <c r="A14" s="113">
        <v>2</v>
      </c>
      <c r="B14" s="114" t="s">
        <v>20</v>
      </c>
      <c r="C14" s="109"/>
      <c r="D14" s="115"/>
      <c r="E14" s="109"/>
      <c r="F14" s="110"/>
      <c r="G14" s="109"/>
      <c r="H14" s="110"/>
      <c r="I14" s="116"/>
      <c r="J14" s="110"/>
    </row>
    <row r="15" spans="1:10" s="112" customFormat="1" ht="21" customHeight="1">
      <c r="A15" s="117">
        <v>2.1</v>
      </c>
      <c r="B15" s="118" t="s">
        <v>130</v>
      </c>
      <c r="C15" s="109">
        <v>9</v>
      </c>
      <c r="D15" s="109" t="s">
        <v>21</v>
      </c>
      <c r="E15" s="119">
        <v>1548</v>
      </c>
      <c r="F15" s="110">
        <f>SUM(E15*C15)</f>
        <v>13932</v>
      </c>
      <c r="G15" s="119">
        <v>115</v>
      </c>
      <c r="H15" s="119">
        <f t="shared" ref="H15" si="1">G15*C15</f>
        <v>1035</v>
      </c>
      <c r="I15" s="119">
        <f t="shared" ref="I15" si="2">H15+F15</f>
        <v>14967</v>
      </c>
      <c r="J15" s="109" t="s">
        <v>27</v>
      </c>
    </row>
    <row r="16" spans="1:10" s="112" customFormat="1" ht="21" customHeight="1">
      <c r="A16" s="117">
        <v>2.2000000000000002</v>
      </c>
      <c r="B16" s="120" t="s">
        <v>153</v>
      </c>
      <c r="C16" s="109">
        <v>25</v>
      </c>
      <c r="D16" s="115" t="s">
        <v>21</v>
      </c>
      <c r="E16" s="109">
        <v>800</v>
      </c>
      <c r="F16" s="110">
        <f>SUM(E16*C16)</f>
        <v>20000</v>
      </c>
      <c r="G16" s="109">
        <v>115</v>
      </c>
      <c r="H16" s="110">
        <f>SUM(G16*C16)</f>
        <v>2875</v>
      </c>
      <c r="I16" s="116">
        <f>SUM(H16+F16)</f>
        <v>22875</v>
      </c>
      <c r="J16" s="166" t="s">
        <v>22</v>
      </c>
    </row>
    <row r="17" spans="1:10" s="112" customFormat="1" ht="21" customHeight="1">
      <c r="A17" s="117">
        <v>2.2999999999999998</v>
      </c>
      <c r="B17" s="120" t="s">
        <v>154</v>
      </c>
      <c r="C17" s="109">
        <f>126-5</f>
        <v>121</v>
      </c>
      <c r="D17" s="115" t="s">
        <v>21</v>
      </c>
      <c r="E17" s="109">
        <v>1186</v>
      </c>
      <c r="F17" s="110">
        <f>SUM(E17*C17)</f>
        <v>143506</v>
      </c>
      <c r="G17" s="109">
        <v>150</v>
      </c>
      <c r="H17" s="110">
        <f t="shared" ref="H17:H25" si="3">SUM(G17*C17)</f>
        <v>18150</v>
      </c>
      <c r="I17" s="116">
        <f t="shared" ref="I17:I24" si="4">SUM(H17+F17)</f>
        <v>161656</v>
      </c>
      <c r="J17" s="166" t="s">
        <v>22</v>
      </c>
    </row>
    <row r="18" spans="1:10" s="112" customFormat="1" ht="21" customHeight="1">
      <c r="A18" s="113">
        <v>3</v>
      </c>
      <c r="B18" s="121" t="s">
        <v>23</v>
      </c>
      <c r="C18" s="109"/>
      <c r="D18" s="115"/>
      <c r="E18" s="109"/>
      <c r="F18" s="110"/>
      <c r="G18" s="109"/>
      <c r="H18" s="110"/>
      <c r="I18" s="116"/>
      <c r="J18" s="166"/>
    </row>
    <row r="19" spans="1:10" s="112" customFormat="1" ht="21" customHeight="1">
      <c r="A19" s="155">
        <v>3.1</v>
      </c>
      <c r="B19" s="120" t="s">
        <v>24</v>
      </c>
      <c r="C19" s="109">
        <f>42+1</f>
        <v>43</v>
      </c>
      <c r="D19" s="115" t="s">
        <v>21</v>
      </c>
      <c r="E19" s="109">
        <v>55.2</v>
      </c>
      <c r="F19" s="110">
        <f>SUM(E19*C19)</f>
        <v>2373.6</v>
      </c>
      <c r="G19" s="109">
        <v>80</v>
      </c>
      <c r="H19" s="110">
        <f t="shared" si="3"/>
        <v>3440</v>
      </c>
      <c r="I19" s="116">
        <f t="shared" si="4"/>
        <v>5813.6</v>
      </c>
      <c r="J19" s="166" t="s">
        <v>25</v>
      </c>
    </row>
    <row r="20" spans="1:10" s="112" customFormat="1" ht="21" customHeight="1">
      <c r="A20" s="155">
        <v>3.2</v>
      </c>
      <c r="B20" s="120" t="s">
        <v>26</v>
      </c>
      <c r="C20" s="109">
        <v>3</v>
      </c>
      <c r="D20" s="115" t="s">
        <v>21</v>
      </c>
      <c r="E20" s="109">
        <f>650*0.65</f>
        <v>422.5</v>
      </c>
      <c r="F20" s="110">
        <f>SUM(E20*C20)</f>
        <v>1267.5</v>
      </c>
      <c r="G20" s="109">
        <v>80</v>
      </c>
      <c r="H20" s="110">
        <f t="shared" si="3"/>
        <v>240</v>
      </c>
      <c r="I20" s="116">
        <f t="shared" si="4"/>
        <v>1507.5</v>
      </c>
      <c r="J20" s="166" t="s">
        <v>27</v>
      </c>
    </row>
    <row r="21" spans="1:10" s="112" customFormat="1" ht="21" customHeight="1">
      <c r="A21" s="155">
        <v>3.3</v>
      </c>
      <c r="B21" s="122" t="s">
        <v>28</v>
      </c>
      <c r="C21" s="109">
        <f>23+4</f>
        <v>27</v>
      </c>
      <c r="D21" s="115" t="s">
        <v>21</v>
      </c>
      <c r="E21" s="109">
        <v>128.44</v>
      </c>
      <c r="F21" s="110">
        <f>SUM(E21*C21)</f>
        <v>3467.88</v>
      </c>
      <c r="G21" s="109">
        <v>90</v>
      </c>
      <c r="H21" s="110">
        <f t="shared" si="3"/>
        <v>2430</v>
      </c>
      <c r="I21" s="116">
        <f t="shared" si="4"/>
        <v>5897.88</v>
      </c>
      <c r="J21" s="166" t="s">
        <v>25</v>
      </c>
    </row>
    <row r="22" spans="1:10" s="112" customFormat="1" ht="21" customHeight="1">
      <c r="A22" s="155">
        <v>3.4</v>
      </c>
      <c r="B22" s="122" t="s">
        <v>29</v>
      </c>
      <c r="C22" s="109">
        <v>10</v>
      </c>
      <c r="D22" s="115" t="s">
        <v>21</v>
      </c>
      <c r="E22" s="109">
        <f>650*0.65</f>
        <v>422.5</v>
      </c>
      <c r="F22" s="110">
        <f>C22*E22</f>
        <v>4225</v>
      </c>
      <c r="G22" s="109">
        <v>90</v>
      </c>
      <c r="H22" s="110">
        <f t="shared" si="3"/>
        <v>900</v>
      </c>
      <c r="I22" s="116">
        <f t="shared" si="4"/>
        <v>5125</v>
      </c>
      <c r="J22" s="166" t="s">
        <v>27</v>
      </c>
    </row>
    <row r="23" spans="1:10" s="112" customFormat="1" ht="21" customHeight="1">
      <c r="A23" s="155">
        <v>3.5</v>
      </c>
      <c r="B23" s="122" t="s">
        <v>30</v>
      </c>
      <c r="C23" s="109">
        <v>40</v>
      </c>
      <c r="D23" s="115" t="s">
        <v>21</v>
      </c>
      <c r="E23" s="109">
        <v>373</v>
      </c>
      <c r="F23" s="110">
        <f>C23*E23</f>
        <v>14920</v>
      </c>
      <c r="G23" s="109">
        <v>90</v>
      </c>
      <c r="H23" s="110">
        <f t="shared" si="3"/>
        <v>3600</v>
      </c>
      <c r="I23" s="116">
        <f t="shared" si="4"/>
        <v>18520</v>
      </c>
      <c r="J23" s="166" t="s">
        <v>27</v>
      </c>
    </row>
    <row r="24" spans="1:10" ht="21" customHeight="1">
      <c r="A24" s="155">
        <v>3.6</v>
      </c>
      <c r="B24" s="122" t="s">
        <v>31</v>
      </c>
      <c r="C24" s="109">
        <v>1</v>
      </c>
      <c r="D24" s="115" t="s">
        <v>21</v>
      </c>
      <c r="E24" s="109">
        <f>530*0.65</f>
        <v>344.5</v>
      </c>
      <c r="F24" s="110">
        <f>C24*E24</f>
        <v>344.5</v>
      </c>
      <c r="G24" s="109">
        <v>90</v>
      </c>
      <c r="H24" s="110">
        <f t="shared" si="3"/>
        <v>90</v>
      </c>
      <c r="I24" s="116">
        <f t="shared" si="4"/>
        <v>434.5</v>
      </c>
      <c r="J24" s="166" t="s">
        <v>27</v>
      </c>
    </row>
    <row r="25" spans="1:10" s="112" customFormat="1" ht="21" customHeight="1">
      <c r="A25" s="155">
        <v>3.7</v>
      </c>
      <c r="B25" s="167" t="s">
        <v>32</v>
      </c>
      <c r="C25" s="109">
        <f>44-4</f>
        <v>40</v>
      </c>
      <c r="D25" s="115" t="s">
        <v>33</v>
      </c>
      <c r="E25" s="109">
        <v>1360</v>
      </c>
      <c r="F25" s="110">
        <f>E25*C25</f>
        <v>54400</v>
      </c>
      <c r="G25" s="109">
        <v>345</v>
      </c>
      <c r="H25" s="110">
        <f t="shared" si="3"/>
        <v>13800</v>
      </c>
      <c r="I25" s="111">
        <f>F25+H25</f>
        <v>68200</v>
      </c>
      <c r="J25" s="110" t="s">
        <v>22</v>
      </c>
    </row>
    <row r="26" spans="1:10" s="112" customFormat="1" ht="21" customHeight="1">
      <c r="A26" s="123">
        <v>4</v>
      </c>
      <c r="B26" s="124" t="s">
        <v>34</v>
      </c>
      <c r="C26" s="105"/>
      <c r="D26" s="105"/>
      <c r="E26" s="125"/>
      <c r="F26" s="125"/>
      <c r="G26" s="119"/>
      <c r="H26" s="119"/>
      <c r="I26" s="125"/>
      <c r="J26" s="126"/>
    </row>
    <row r="27" spans="1:10" s="112" customFormat="1" ht="21" customHeight="1">
      <c r="A27" s="117">
        <v>4.0999999999999996</v>
      </c>
      <c r="B27" s="127" t="s">
        <v>35</v>
      </c>
      <c r="C27" s="105">
        <v>3500</v>
      </c>
      <c r="D27" s="109" t="s">
        <v>10</v>
      </c>
      <c r="E27" s="119">
        <v>8.7780000000000005</v>
      </c>
      <c r="F27" s="125">
        <f t="shared" ref="F27:F31" si="5">E27*C27</f>
        <v>30723</v>
      </c>
      <c r="G27" s="119">
        <v>7</v>
      </c>
      <c r="H27" s="119">
        <f t="shared" ref="H27:H34" si="6">G27*C27</f>
        <v>24500</v>
      </c>
      <c r="I27" s="125">
        <f t="shared" ref="I27:I31" si="7">F27+H27</f>
        <v>55223</v>
      </c>
      <c r="J27" s="109" t="s">
        <v>25</v>
      </c>
    </row>
    <row r="28" spans="1:10" s="112" customFormat="1" ht="21" customHeight="1">
      <c r="A28" s="117">
        <v>4.2</v>
      </c>
      <c r="B28" s="127" t="s">
        <v>36</v>
      </c>
      <c r="C28" s="105">
        <f>137.7+2900</f>
        <v>3037.7</v>
      </c>
      <c r="D28" s="105" t="s">
        <v>10</v>
      </c>
      <c r="E28" s="125">
        <v>13.24</v>
      </c>
      <c r="F28" s="125">
        <f>E28*C28</f>
        <v>40219.148000000001</v>
      </c>
      <c r="G28" s="119">
        <v>10</v>
      </c>
      <c r="H28" s="119">
        <f t="shared" si="6"/>
        <v>30377</v>
      </c>
      <c r="I28" s="125">
        <f t="shared" si="7"/>
        <v>70596.148000000001</v>
      </c>
      <c r="J28" s="109" t="s">
        <v>25</v>
      </c>
    </row>
    <row r="29" spans="1:10" s="112" customFormat="1" ht="21" customHeight="1">
      <c r="A29" s="117">
        <v>4.3</v>
      </c>
      <c r="B29" s="127" t="s">
        <v>37</v>
      </c>
      <c r="C29" s="105">
        <v>83.1</v>
      </c>
      <c r="D29" s="105" t="s">
        <v>10</v>
      </c>
      <c r="E29" s="125">
        <v>21.79</v>
      </c>
      <c r="F29" s="125">
        <f t="shared" si="5"/>
        <v>1810.7489999999998</v>
      </c>
      <c r="G29" s="119">
        <v>12</v>
      </c>
      <c r="H29" s="119">
        <f t="shared" si="6"/>
        <v>997.19999999999993</v>
      </c>
      <c r="I29" s="125">
        <f t="shared" si="7"/>
        <v>2807.9489999999996</v>
      </c>
      <c r="J29" s="109" t="s">
        <v>25</v>
      </c>
    </row>
    <row r="30" spans="1:10" s="112" customFormat="1" ht="21" customHeight="1">
      <c r="A30" s="117">
        <v>4.4000000000000004</v>
      </c>
      <c r="B30" s="127" t="s">
        <v>38</v>
      </c>
      <c r="C30" s="105">
        <v>775.8</v>
      </c>
      <c r="D30" s="105" t="s">
        <v>10</v>
      </c>
      <c r="E30" s="125">
        <v>37.96</v>
      </c>
      <c r="F30" s="125">
        <f t="shared" si="5"/>
        <v>29449.367999999999</v>
      </c>
      <c r="G30" s="119">
        <v>16</v>
      </c>
      <c r="H30" s="119">
        <f t="shared" si="6"/>
        <v>12412.8</v>
      </c>
      <c r="I30" s="125">
        <f t="shared" si="7"/>
        <v>41862.167999999998</v>
      </c>
      <c r="J30" s="109" t="s">
        <v>25</v>
      </c>
    </row>
    <row r="31" spans="1:10" s="112" customFormat="1" ht="21" customHeight="1">
      <c r="A31" s="117">
        <v>4.5</v>
      </c>
      <c r="B31" s="127" t="s">
        <v>39</v>
      </c>
      <c r="C31" s="105">
        <v>103.1</v>
      </c>
      <c r="D31" s="105" t="s">
        <v>10</v>
      </c>
      <c r="E31" s="125">
        <v>58.91</v>
      </c>
      <c r="F31" s="125">
        <f t="shared" si="5"/>
        <v>6073.6209999999992</v>
      </c>
      <c r="G31" s="119">
        <v>20</v>
      </c>
      <c r="H31" s="119">
        <f t="shared" si="6"/>
        <v>2062</v>
      </c>
      <c r="I31" s="125">
        <f t="shared" si="7"/>
        <v>8135.6209999999992</v>
      </c>
      <c r="J31" s="109" t="s">
        <v>25</v>
      </c>
    </row>
    <row r="32" spans="1:10" s="112" customFormat="1" ht="21" customHeight="1">
      <c r="A32" s="117">
        <v>4.5999999999999996</v>
      </c>
      <c r="B32" s="127" t="s">
        <v>40</v>
      </c>
      <c r="C32" s="105">
        <v>14.4</v>
      </c>
      <c r="D32" s="105" t="s">
        <v>10</v>
      </c>
      <c r="E32" s="119">
        <v>92.4</v>
      </c>
      <c r="F32" s="119">
        <f t="shared" ref="F32:F34" si="8">E32*C32</f>
        <v>1330.5600000000002</v>
      </c>
      <c r="G32" s="119">
        <v>25</v>
      </c>
      <c r="H32" s="119">
        <f t="shared" si="6"/>
        <v>360</v>
      </c>
      <c r="I32" s="119">
        <f>F32+H32</f>
        <v>1690.5600000000002</v>
      </c>
      <c r="J32" s="109" t="s">
        <v>25</v>
      </c>
    </row>
    <row r="33" spans="1:10" s="112" customFormat="1" ht="21" customHeight="1">
      <c r="A33" s="117">
        <v>4.7</v>
      </c>
      <c r="B33" s="127" t="s">
        <v>41</v>
      </c>
      <c r="C33" s="105">
        <v>548.70000000000005</v>
      </c>
      <c r="D33" s="105" t="s">
        <v>10</v>
      </c>
      <c r="E33" s="119">
        <v>176.48</v>
      </c>
      <c r="F33" s="119">
        <f t="shared" si="8"/>
        <v>96834.576000000001</v>
      </c>
      <c r="G33" s="119">
        <v>40</v>
      </c>
      <c r="H33" s="119">
        <f>G33*C33</f>
        <v>21948</v>
      </c>
      <c r="I33" s="119">
        <f>H33+F33</f>
        <v>118782.576</v>
      </c>
      <c r="J33" s="109" t="s">
        <v>25</v>
      </c>
    </row>
    <row r="34" spans="1:10" s="112" customFormat="1" ht="21" customHeight="1">
      <c r="A34" s="117">
        <v>4.8</v>
      </c>
      <c r="B34" s="128" t="s">
        <v>42</v>
      </c>
      <c r="C34" s="105">
        <v>40</v>
      </c>
      <c r="D34" s="105" t="s">
        <v>10</v>
      </c>
      <c r="E34" s="125">
        <v>252.33</v>
      </c>
      <c r="F34" s="125">
        <f t="shared" si="8"/>
        <v>10093.200000000001</v>
      </c>
      <c r="G34" s="119">
        <v>45</v>
      </c>
      <c r="H34" s="119">
        <f t="shared" si="6"/>
        <v>1800</v>
      </c>
      <c r="I34" s="125">
        <f t="shared" ref="I34:I36" si="9">F34+H34</f>
        <v>11893.2</v>
      </c>
      <c r="J34" s="109" t="s">
        <v>25</v>
      </c>
    </row>
    <row r="35" spans="1:10" s="112" customFormat="1" ht="21" customHeight="1">
      <c r="A35" s="117">
        <v>4.9000000000000004</v>
      </c>
      <c r="B35" s="127" t="s">
        <v>43</v>
      </c>
      <c r="C35" s="105">
        <v>40</v>
      </c>
      <c r="D35" s="105" t="s">
        <v>10</v>
      </c>
      <c r="E35" s="125">
        <v>440.44</v>
      </c>
      <c r="F35" s="125">
        <f t="shared" ref="F35:F36" si="10">E35*C35</f>
        <v>17617.599999999999</v>
      </c>
      <c r="G35" s="119">
        <v>60</v>
      </c>
      <c r="H35" s="119">
        <f t="shared" ref="H35:H37" si="11">G35*C35</f>
        <v>2400</v>
      </c>
      <c r="I35" s="125">
        <f t="shared" si="9"/>
        <v>20017.599999999999</v>
      </c>
      <c r="J35" s="109" t="s">
        <v>25</v>
      </c>
    </row>
    <row r="36" spans="1:10" s="112" customFormat="1" ht="21" customHeight="1">
      <c r="A36" s="157">
        <v>4.0999999999999996</v>
      </c>
      <c r="B36" s="127" t="s">
        <v>44</v>
      </c>
      <c r="C36" s="105">
        <v>57.6</v>
      </c>
      <c r="D36" s="105" t="s">
        <v>10</v>
      </c>
      <c r="E36" s="125">
        <v>647</v>
      </c>
      <c r="F36" s="125">
        <f t="shared" si="10"/>
        <v>37267.200000000004</v>
      </c>
      <c r="G36" s="119">
        <v>85</v>
      </c>
      <c r="H36" s="119">
        <f t="shared" si="11"/>
        <v>4896</v>
      </c>
      <c r="I36" s="125">
        <f t="shared" si="9"/>
        <v>42163.200000000004</v>
      </c>
      <c r="J36" s="109" t="s">
        <v>27</v>
      </c>
    </row>
    <row r="37" spans="1:10" s="112" customFormat="1" ht="21" customHeight="1">
      <c r="A37" s="117">
        <v>4.1100000000000003</v>
      </c>
      <c r="B37" s="129" t="s">
        <v>45</v>
      </c>
      <c r="C37" s="168">
        <v>1</v>
      </c>
      <c r="D37" s="130" t="s">
        <v>19</v>
      </c>
      <c r="E37" s="189">
        <f>SUM(F27:F36)*0.05</f>
        <v>13570.9511</v>
      </c>
      <c r="F37" s="131">
        <f>ROUND(E37*C37,2)</f>
        <v>13570.95</v>
      </c>
      <c r="G37" s="109">
        <v>0</v>
      </c>
      <c r="H37" s="110">
        <f t="shared" si="11"/>
        <v>0</v>
      </c>
      <c r="I37" s="132">
        <f>+F37+H37</f>
        <v>13570.95</v>
      </c>
      <c r="J37" s="109"/>
    </row>
    <row r="38" spans="1:10" s="112" customFormat="1" ht="21" customHeight="1">
      <c r="A38" s="169">
        <v>5</v>
      </c>
      <c r="B38" s="170" t="s">
        <v>46</v>
      </c>
      <c r="C38" s="131"/>
      <c r="D38" s="130"/>
      <c r="E38" s="190"/>
      <c r="F38" s="134"/>
      <c r="G38" s="133"/>
      <c r="H38" s="134"/>
      <c r="I38" s="135"/>
      <c r="J38" s="109"/>
    </row>
    <row r="39" spans="1:10" s="112" customFormat="1" ht="21" customHeight="1">
      <c r="A39" s="156">
        <v>5.0999999999999996</v>
      </c>
      <c r="B39" s="137" t="s">
        <v>47</v>
      </c>
      <c r="C39" s="109">
        <v>600</v>
      </c>
      <c r="D39" s="109" t="s">
        <v>10</v>
      </c>
      <c r="E39" s="119">
        <v>31.03</v>
      </c>
      <c r="F39" s="119">
        <f t="shared" ref="F39:F47" si="12">C39*E39</f>
        <v>18618</v>
      </c>
      <c r="G39" s="119">
        <v>22</v>
      </c>
      <c r="H39" s="119">
        <f t="shared" ref="H39:H47" si="13">G39*C39</f>
        <v>13200</v>
      </c>
      <c r="I39" s="119">
        <f t="shared" ref="I39:I47" si="14">H39+F39</f>
        <v>31818</v>
      </c>
      <c r="J39" s="138" t="s">
        <v>25</v>
      </c>
    </row>
    <row r="40" spans="1:10" s="112" customFormat="1" ht="21" customHeight="1">
      <c r="A40" s="156">
        <v>5.2</v>
      </c>
      <c r="B40" s="137" t="s">
        <v>48</v>
      </c>
      <c r="C40" s="109">
        <v>90</v>
      </c>
      <c r="D40" s="109" t="s">
        <v>10</v>
      </c>
      <c r="E40" s="119">
        <v>44.8</v>
      </c>
      <c r="F40" s="119">
        <f t="shared" si="12"/>
        <v>4031.9999999999995</v>
      </c>
      <c r="G40" s="119">
        <v>24</v>
      </c>
      <c r="H40" s="119">
        <f t="shared" si="13"/>
        <v>2160</v>
      </c>
      <c r="I40" s="119">
        <f t="shared" si="14"/>
        <v>6192</v>
      </c>
      <c r="J40" s="138" t="s">
        <v>25</v>
      </c>
    </row>
    <row r="41" spans="1:10" s="112" customFormat="1" ht="21" customHeight="1">
      <c r="A41" s="156">
        <v>5.3</v>
      </c>
      <c r="B41" s="137" t="s">
        <v>49</v>
      </c>
      <c r="C41" s="109">
        <v>137.69999999999999</v>
      </c>
      <c r="D41" s="109" t="s">
        <v>10</v>
      </c>
      <c r="E41" s="119">
        <v>63.7</v>
      </c>
      <c r="F41" s="119">
        <f t="shared" si="12"/>
        <v>8771.49</v>
      </c>
      <c r="G41" s="119">
        <v>28</v>
      </c>
      <c r="H41" s="119">
        <f t="shared" si="13"/>
        <v>3855.5999999999995</v>
      </c>
      <c r="I41" s="119">
        <f t="shared" si="14"/>
        <v>12627.09</v>
      </c>
      <c r="J41" s="138" t="s">
        <v>25</v>
      </c>
    </row>
    <row r="42" spans="1:10" s="112" customFormat="1" ht="21" customHeight="1">
      <c r="A42" s="156">
        <v>5.4</v>
      </c>
      <c r="B42" s="137" t="s">
        <v>50</v>
      </c>
      <c r="C42" s="109">
        <v>83.1</v>
      </c>
      <c r="D42" s="109" t="s">
        <v>10</v>
      </c>
      <c r="E42" s="119">
        <v>111.07</v>
      </c>
      <c r="F42" s="119">
        <f t="shared" si="12"/>
        <v>9229.9169999999995</v>
      </c>
      <c r="G42" s="119">
        <v>32</v>
      </c>
      <c r="H42" s="119">
        <f t="shared" si="13"/>
        <v>2659.2</v>
      </c>
      <c r="I42" s="119">
        <f t="shared" si="14"/>
        <v>11889.116999999998</v>
      </c>
      <c r="J42" s="126" t="s">
        <v>25</v>
      </c>
    </row>
    <row r="43" spans="1:10" s="112" customFormat="1" ht="21" customHeight="1">
      <c r="A43" s="156">
        <v>5.5</v>
      </c>
      <c r="B43" s="137" t="s">
        <v>51</v>
      </c>
      <c r="C43" s="109">
        <v>255.73</v>
      </c>
      <c r="D43" s="109" t="s">
        <v>10</v>
      </c>
      <c r="E43" s="119">
        <v>255.73</v>
      </c>
      <c r="F43" s="119">
        <f t="shared" si="12"/>
        <v>65397.832899999994</v>
      </c>
      <c r="G43" s="119">
        <v>48</v>
      </c>
      <c r="H43" s="119">
        <f t="shared" si="13"/>
        <v>12275.039999999999</v>
      </c>
      <c r="I43" s="119">
        <f t="shared" si="14"/>
        <v>77672.872899999988</v>
      </c>
      <c r="J43" s="126" t="s">
        <v>25</v>
      </c>
    </row>
    <row r="44" spans="1:10" s="112" customFormat="1" ht="21" customHeight="1">
      <c r="A44" s="156">
        <v>5.6</v>
      </c>
      <c r="B44" s="137" t="s">
        <v>52</v>
      </c>
      <c r="C44" s="109">
        <v>10</v>
      </c>
      <c r="D44" s="109" t="s">
        <v>10</v>
      </c>
      <c r="E44" s="119">
        <v>323.5</v>
      </c>
      <c r="F44" s="119">
        <f t="shared" si="12"/>
        <v>3235</v>
      </c>
      <c r="G44" s="119">
        <v>55</v>
      </c>
      <c r="H44" s="119">
        <f t="shared" si="13"/>
        <v>550</v>
      </c>
      <c r="I44" s="119">
        <f t="shared" si="14"/>
        <v>3785</v>
      </c>
      <c r="J44" s="126" t="s">
        <v>27</v>
      </c>
    </row>
    <row r="45" spans="1:10" s="112" customFormat="1" ht="21" customHeight="1">
      <c r="A45" s="156">
        <v>5.7</v>
      </c>
      <c r="B45" s="137" t="s">
        <v>53</v>
      </c>
      <c r="C45" s="109">
        <v>10</v>
      </c>
      <c r="D45" s="109" t="s">
        <v>10</v>
      </c>
      <c r="E45" s="119">
        <v>400.75</v>
      </c>
      <c r="F45" s="119">
        <f t="shared" si="12"/>
        <v>4007.5</v>
      </c>
      <c r="G45" s="119">
        <v>65</v>
      </c>
      <c r="H45" s="119">
        <f t="shared" si="13"/>
        <v>650</v>
      </c>
      <c r="I45" s="119">
        <f t="shared" si="14"/>
        <v>4657.5</v>
      </c>
      <c r="J45" s="126" t="s">
        <v>27</v>
      </c>
    </row>
    <row r="46" spans="1:10" s="112" customFormat="1" ht="21" customHeight="1">
      <c r="A46" s="156">
        <v>5.8</v>
      </c>
      <c r="B46" s="137" t="s">
        <v>54</v>
      </c>
      <c r="C46" s="109">
        <v>14.4</v>
      </c>
      <c r="D46" s="109" t="s">
        <v>10</v>
      </c>
      <c r="E46" s="119">
        <v>528.75</v>
      </c>
      <c r="F46" s="119">
        <f t="shared" si="12"/>
        <v>7614</v>
      </c>
      <c r="G46" s="119">
        <v>85</v>
      </c>
      <c r="H46" s="119">
        <f t="shared" si="13"/>
        <v>1224</v>
      </c>
      <c r="I46" s="119">
        <f t="shared" si="14"/>
        <v>8838</v>
      </c>
      <c r="J46" s="126" t="s">
        <v>27</v>
      </c>
    </row>
    <row r="47" spans="1:10" s="112" customFormat="1" ht="21" customHeight="1">
      <c r="A47" s="156">
        <v>5.9</v>
      </c>
      <c r="B47" s="139" t="s">
        <v>55</v>
      </c>
      <c r="C47" s="109">
        <f>115.2-12</f>
        <v>103.2</v>
      </c>
      <c r="D47" s="109" t="s">
        <v>10</v>
      </c>
      <c r="E47" s="112">
        <v>299.52</v>
      </c>
      <c r="F47" s="119">
        <f t="shared" si="12"/>
        <v>30910.464</v>
      </c>
      <c r="G47" s="119">
        <v>55</v>
      </c>
      <c r="H47" s="119">
        <f t="shared" si="13"/>
        <v>5676</v>
      </c>
      <c r="I47" s="119">
        <f t="shared" si="14"/>
        <v>36586.464</v>
      </c>
      <c r="J47" s="126" t="s">
        <v>22</v>
      </c>
    </row>
    <row r="48" spans="1:10" s="112" customFormat="1" ht="21" customHeight="1">
      <c r="A48" s="158">
        <v>5.0999999999999996</v>
      </c>
      <c r="B48" s="129" t="s">
        <v>56</v>
      </c>
      <c r="C48" s="168">
        <v>1</v>
      </c>
      <c r="D48" s="130" t="s">
        <v>19</v>
      </c>
      <c r="E48" s="189">
        <f>SUM(F39:F47)*0.2</f>
        <v>30363.24078</v>
      </c>
      <c r="F48" s="131">
        <f>ROUND(E48*C48,2)</f>
        <v>30363.24</v>
      </c>
      <c r="G48" s="109">
        <v>0</v>
      </c>
      <c r="H48" s="110">
        <f t="shared" ref="H48:H79" si="15">G48*C48</f>
        <v>0</v>
      </c>
      <c r="I48" s="132">
        <f>+F48+H48</f>
        <v>30363.24</v>
      </c>
      <c r="J48" s="109"/>
    </row>
    <row r="49" spans="1:10" ht="21" customHeight="1">
      <c r="A49" s="113">
        <v>6</v>
      </c>
      <c r="B49" s="114" t="s">
        <v>57</v>
      </c>
      <c r="C49" s="109"/>
      <c r="D49" s="115"/>
      <c r="E49" s="109"/>
      <c r="F49" s="110"/>
      <c r="G49" s="109"/>
      <c r="H49" s="110"/>
      <c r="I49" s="116"/>
      <c r="J49" s="166"/>
    </row>
    <row r="50" spans="1:10" ht="42" customHeight="1">
      <c r="A50" s="155">
        <v>6.1</v>
      </c>
      <c r="B50" s="140" t="s">
        <v>58</v>
      </c>
      <c r="C50" s="141">
        <v>1</v>
      </c>
      <c r="D50" s="110" t="s">
        <v>59</v>
      </c>
      <c r="E50" s="141">
        <v>60000</v>
      </c>
      <c r="F50" s="120">
        <f>E50*C50</f>
        <v>60000</v>
      </c>
      <c r="G50" s="141">
        <f>F50*0.1</f>
        <v>6000</v>
      </c>
      <c r="H50" s="120">
        <f t="shared" si="15"/>
        <v>6000</v>
      </c>
      <c r="I50" s="142">
        <f>H50+F50</f>
        <v>66000</v>
      </c>
      <c r="J50" s="166" t="s">
        <v>27</v>
      </c>
    </row>
    <row r="51" spans="1:10" ht="21" customHeight="1">
      <c r="A51" s="113">
        <v>7</v>
      </c>
      <c r="B51" s="114" t="s">
        <v>60</v>
      </c>
      <c r="C51" s="109"/>
      <c r="D51" s="115"/>
      <c r="E51" s="109"/>
      <c r="F51" s="110"/>
      <c r="G51" s="109"/>
      <c r="H51" s="110"/>
      <c r="I51" s="116"/>
      <c r="J51" s="166"/>
    </row>
    <row r="52" spans="1:10" s="112" customFormat="1" ht="21" customHeight="1">
      <c r="A52" s="155">
        <v>7.1</v>
      </c>
      <c r="B52" s="122" t="s">
        <v>61</v>
      </c>
      <c r="C52" s="109">
        <v>4</v>
      </c>
      <c r="D52" s="115" t="s">
        <v>59</v>
      </c>
      <c r="E52" s="109">
        <f>8190*0.65</f>
        <v>5323.5</v>
      </c>
      <c r="F52" s="110">
        <f t="shared" ref="F52:F79" si="16">E52*C52</f>
        <v>21294</v>
      </c>
      <c r="G52" s="109">
        <v>1200</v>
      </c>
      <c r="H52" s="110">
        <f t="shared" si="15"/>
        <v>4800</v>
      </c>
      <c r="I52" s="116">
        <f>H52+F52</f>
        <v>26094</v>
      </c>
      <c r="J52" s="166" t="s">
        <v>27</v>
      </c>
    </row>
    <row r="53" spans="1:10" s="112" customFormat="1" ht="21" customHeight="1">
      <c r="A53" s="155">
        <v>7.2</v>
      </c>
      <c r="B53" s="122" t="s">
        <v>62</v>
      </c>
      <c r="C53" s="109">
        <v>1</v>
      </c>
      <c r="D53" s="115" t="s">
        <v>59</v>
      </c>
      <c r="E53" s="109">
        <f>9080*0.65</f>
        <v>5902</v>
      </c>
      <c r="F53" s="110">
        <f t="shared" ref="F53" si="17">E53*C53</f>
        <v>5902</v>
      </c>
      <c r="G53" s="109">
        <v>1200</v>
      </c>
      <c r="H53" s="110">
        <f t="shared" ref="H53" si="18">G53*C53</f>
        <v>1200</v>
      </c>
      <c r="I53" s="116">
        <f t="shared" ref="I53" si="19">H53+F53</f>
        <v>7102</v>
      </c>
      <c r="J53" s="166" t="s">
        <v>27</v>
      </c>
    </row>
    <row r="54" spans="1:10" s="112" customFormat="1" ht="21" customHeight="1">
      <c r="A54" s="155">
        <v>7.3</v>
      </c>
      <c r="B54" s="122" t="s">
        <v>63</v>
      </c>
      <c r="C54" s="109">
        <v>1</v>
      </c>
      <c r="D54" s="115" t="s">
        <v>59</v>
      </c>
      <c r="E54" s="109">
        <f>11400*0.65</f>
        <v>7410</v>
      </c>
      <c r="F54" s="110">
        <f t="shared" si="16"/>
        <v>7410</v>
      </c>
      <c r="G54" s="109">
        <v>1200</v>
      </c>
      <c r="H54" s="110">
        <f t="shared" si="15"/>
        <v>1200</v>
      </c>
      <c r="I54" s="116">
        <f t="shared" ref="I54:I79" si="20">H54+F54</f>
        <v>8610</v>
      </c>
      <c r="J54" s="166" t="s">
        <v>27</v>
      </c>
    </row>
    <row r="55" spans="1:10" s="112" customFormat="1" ht="21" customHeight="1">
      <c r="A55" s="155">
        <v>7.4</v>
      </c>
      <c r="B55" s="122" t="s">
        <v>64</v>
      </c>
      <c r="C55" s="109">
        <v>1</v>
      </c>
      <c r="D55" s="115" t="s">
        <v>59</v>
      </c>
      <c r="E55" s="109">
        <f>12800*0.65</f>
        <v>8320</v>
      </c>
      <c r="F55" s="110">
        <f t="shared" si="16"/>
        <v>8320</v>
      </c>
      <c r="G55" s="109">
        <v>1200</v>
      </c>
      <c r="H55" s="110">
        <f t="shared" si="15"/>
        <v>1200</v>
      </c>
      <c r="I55" s="116">
        <f t="shared" si="20"/>
        <v>9520</v>
      </c>
      <c r="J55" s="166" t="s">
        <v>27</v>
      </c>
    </row>
    <row r="56" spans="1:10" s="112" customFormat="1" ht="21" customHeight="1">
      <c r="A56" s="155">
        <v>7.5</v>
      </c>
      <c r="B56" s="122" t="s">
        <v>65</v>
      </c>
      <c r="C56" s="109">
        <v>1</v>
      </c>
      <c r="D56" s="115" t="s">
        <v>59</v>
      </c>
      <c r="E56" s="109">
        <f>19400*0.65</f>
        <v>12610</v>
      </c>
      <c r="F56" s="110">
        <f t="shared" si="16"/>
        <v>12610</v>
      </c>
      <c r="G56" s="109">
        <v>1200</v>
      </c>
      <c r="H56" s="110">
        <f t="shared" si="15"/>
        <v>1200</v>
      </c>
      <c r="I56" s="116">
        <f t="shared" si="20"/>
        <v>13810</v>
      </c>
      <c r="J56" s="166" t="s">
        <v>27</v>
      </c>
    </row>
    <row r="57" spans="1:10" ht="21" customHeight="1">
      <c r="A57" s="113">
        <v>8</v>
      </c>
      <c r="B57" s="114" t="s">
        <v>66</v>
      </c>
      <c r="C57" s="109"/>
      <c r="D57" s="115"/>
      <c r="E57" s="109"/>
      <c r="F57" s="110"/>
      <c r="G57" s="109"/>
      <c r="H57" s="110"/>
      <c r="I57" s="116"/>
      <c r="J57" s="166"/>
    </row>
    <row r="58" spans="1:10" s="112" customFormat="1" ht="21" customHeight="1">
      <c r="A58" s="155">
        <v>8.1</v>
      </c>
      <c r="B58" s="122" t="s">
        <v>161</v>
      </c>
      <c r="C58" s="109">
        <v>1</v>
      </c>
      <c r="D58" s="115" t="s">
        <v>59</v>
      </c>
      <c r="E58" s="109">
        <v>17000</v>
      </c>
      <c r="F58" s="110">
        <f t="shared" ref="F58" si="21">E58*C58</f>
        <v>17000</v>
      </c>
      <c r="G58" s="109">
        <f>F58*0.1</f>
        <v>1700</v>
      </c>
      <c r="H58" s="110">
        <f t="shared" ref="H58" si="22">G58*C58</f>
        <v>1700</v>
      </c>
      <c r="I58" s="116">
        <f t="shared" ref="I58" si="23">H58+F58</f>
        <v>18700</v>
      </c>
      <c r="J58" s="166" t="s">
        <v>27</v>
      </c>
    </row>
    <row r="59" spans="1:10" s="112" customFormat="1" ht="21" customHeight="1">
      <c r="A59" s="155">
        <v>8.1999999999999993</v>
      </c>
      <c r="B59" s="122" t="s">
        <v>159</v>
      </c>
      <c r="C59" s="109">
        <v>1</v>
      </c>
      <c r="D59" s="115" t="s">
        <v>59</v>
      </c>
      <c r="E59" s="109">
        <v>20000</v>
      </c>
      <c r="F59" s="110">
        <f t="shared" si="16"/>
        <v>20000</v>
      </c>
      <c r="G59" s="109">
        <f t="shared" ref="G59:G60" si="24">F59*0.1</f>
        <v>2000</v>
      </c>
      <c r="H59" s="110">
        <f t="shared" si="15"/>
        <v>2000</v>
      </c>
      <c r="I59" s="116">
        <f t="shared" si="20"/>
        <v>22000</v>
      </c>
      <c r="J59" s="166" t="s">
        <v>27</v>
      </c>
    </row>
    <row r="60" spans="1:10" s="112" customFormat="1" ht="21" customHeight="1">
      <c r="A60" s="155">
        <v>8.3000000000000007</v>
      </c>
      <c r="B60" s="122" t="s">
        <v>160</v>
      </c>
      <c r="C60" s="109">
        <v>1</v>
      </c>
      <c r="D60" s="115" t="s">
        <v>59</v>
      </c>
      <c r="E60" s="109">
        <v>25000</v>
      </c>
      <c r="F60" s="110">
        <f t="shared" si="16"/>
        <v>25000</v>
      </c>
      <c r="G60" s="109">
        <f t="shared" si="24"/>
        <v>2500</v>
      </c>
      <c r="H60" s="110">
        <f t="shared" si="15"/>
        <v>2500</v>
      </c>
      <c r="I60" s="116">
        <f t="shared" si="20"/>
        <v>27500</v>
      </c>
      <c r="J60" s="166" t="s">
        <v>27</v>
      </c>
    </row>
    <row r="61" spans="1:10" s="112" customFormat="1" ht="21" customHeight="1">
      <c r="A61" s="155">
        <v>8.4</v>
      </c>
      <c r="B61" s="129" t="s">
        <v>45</v>
      </c>
      <c r="C61" s="168">
        <v>1</v>
      </c>
      <c r="D61" s="130" t="s">
        <v>19</v>
      </c>
      <c r="E61" s="189">
        <f>SUM(F50:F60)*0.05</f>
        <v>8876.8000000000011</v>
      </c>
      <c r="F61" s="131">
        <f>ROUND(E61*C61,2)</f>
        <v>8876.7999999999993</v>
      </c>
      <c r="G61" s="109"/>
      <c r="H61" s="110">
        <f t="shared" si="15"/>
        <v>0</v>
      </c>
      <c r="I61" s="132">
        <f>+F61+H61</f>
        <v>8876.7999999999993</v>
      </c>
      <c r="J61" s="109"/>
    </row>
    <row r="62" spans="1:10" s="112" customFormat="1" ht="21" customHeight="1">
      <c r="A62" s="155">
        <v>8.5</v>
      </c>
      <c r="B62" s="122" t="s">
        <v>67</v>
      </c>
      <c r="C62" s="109">
        <f>15+1</f>
        <v>16</v>
      </c>
      <c r="D62" s="115" t="s">
        <v>33</v>
      </c>
      <c r="E62" s="109">
        <f>700*0.65</f>
        <v>455</v>
      </c>
      <c r="F62" s="110">
        <f t="shared" ref="F62:F63" si="25">E62*C62</f>
        <v>7280</v>
      </c>
      <c r="G62" s="109"/>
      <c r="H62" s="110">
        <f t="shared" ref="H62:H63" si="26">G62*C62</f>
        <v>0</v>
      </c>
      <c r="I62" s="116">
        <f t="shared" ref="I62:I63" si="27">H62+F62</f>
        <v>7280</v>
      </c>
      <c r="J62" s="166" t="s">
        <v>27</v>
      </c>
    </row>
    <row r="63" spans="1:10" s="112" customFormat="1" ht="21" customHeight="1">
      <c r="A63" s="155">
        <v>8.6</v>
      </c>
      <c r="B63" s="122" t="s">
        <v>68</v>
      </c>
      <c r="C63" s="109">
        <v>28</v>
      </c>
      <c r="D63" s="115" t="s">
        <v>33</v>
      </c>
      <c r="E63" s="109">
        <f>700*0.65</f>
        <v>455</v>
      </c>
      <c r="F63" s="110">
        <f t="shared" si="25"/>
        <v>12740</v>
      </c>
      <c r="G63" s="109"/>
      <c r="H63" s="110">
        <f t="shared" si="26"/>
        <v>0</v>
      </c>
      <c r="I63" s="116">
        <f t="shared" si="27"/>
        <v>12740</v>
      </c>
      <c r="J63" s="166" t="s">
        <v>27</v>
      </c>
    </row>
    <row r="64" spans="1:10" s="112" customFormat="1" ht="21" customHeight="1">
      <c r="A64" s="155">
        <v>8.6999999999999993</v>
      </c>
      <c r="B64" s="143" t="s">
        <v>69</v>
      </c>
      <c r="C64" s="109">
        <f>26+1</f>
        <v>27</v>
      </c>
      <c r="D64" s="115" t="s">
        <v>33</v>
      </c>
      <c r="E64" s="109">
        <f>4640*0.65</f>
        <v>3016</v>
      </c>
      <c r="F64" s="110">
        <f t="shared" si="16"/>
        <v>81432</v>
      </c>
      <c r="G64" s="109"/>
      <c r="H64" s="110">
        <f t="shared" si="15"/>
        <v>0</v>
      </c>
      <c r="I64" s="116">
        <f t="shared" si="20"/>
        <v>81432</v>
      </c>
      <c r="J64" s="166" t="s">
        <v>27</v>
      </c>
    </row>
    <row r="65" spans="1:10" s="112" customFormat="1" ht="21" customHeight="1">
      <c r="A65" s="155">
        <v>8.8000000000000007</v>
      </c>
      <c r="B65" s="122" t="s">
        <v>70</v>
      </c>
      <c r="C65" s="109">
        <f>22+1</f>
        <v>23</v>
      </c>
      <c r="D65" s="115" t="s">
        <v>33</v>
      </c>
      <c r="E65" s="109">
        <f>3600*0.65</f>
        <v>2340</v>
      </c>
      <c r="F65" s="110">
        <f t="shared" si="16"/>
        <v>53820</v>
      </c>
      <c r="G65" s="109"/>
      <c r="H65" s="110">
        <f t="shared" si="15"/>
        <v>0</v>
      </c>
      <c r="I65" s="116">
        <f t="shared" si="20"/>
        <v>53820</v>
      </c>
      <c r="J65" s="166" t="s">
        <v>27</v>
      </c>
    </row>
    <row r="66" spans="1:10" s="112" customFormat="1" ht="21" customHeight="1">
      <c r="A66" s="155">
        <v>8.9</v>
      </c>
      <c r="B66" s="122" t="s">
        <v>71</v>
      </c>
      <c r="C66" s="109">
        <v>2</v>
      </c>
      <c r="D66" s="115" t="s">
        <v>33</v>
      </c>
      <c r="E66" s="109">
        <f>3600*0.65</f>
        <v>2340</v>
      </c>
      <c r="F66" s="110">
        <f t="shared" si="16"/>
        <v>4680</v>
      </c>
      <c r="G66" s="109"/>
      <c r="H66" s="110">
        <f t="shared" si="15"/>
        <v>0</v>
      </c>
      <c r="I66" s="116">
        <f t="shared" si="20"/>
        <v>4680</v>
      </c>
      <c r="J66" s="166" t="s">
        <v>27</v>
      </c>
    </row>
    <row r="67" spans="1:10" s="112" customFormat="1" ht="21" customHeight="1">
      <c r="A67" s="159">
        <v>8.1</v>
      </c>
      <c r="B67" s="122" t="s">
        <v>72</v>
      </c>
      <c r="C67" s="109">
        <v>4</v>
      </c>
      <c r="D67" s="115" t="s">
        <v>33</v>
      </c>
      <c r="E67" s="109">
        <f>3600*0.65</f>
        <v>2340</v>
      </c>
      <c r="F67" s="110">
        <f t="shared" si="16"/>
        <v>9360</v>
      </c>
      <c r="G67" s="109"/>
      <c r="H67" s="110">
        <f t="shared" si="15"/>
        <v>0</v>
      </c>
      <c r="I67" s="116">
        <f t="shared" si="20"/>
        <v>9360</v>
      </c>
      <c r="J67" s="166" t="s">
        <v>27</v>
      </c>
    </row>
    <row r="68" spans="1:10" s="112" customFormat="1" ht="21" customHeight="1">
      <c r="A68" s="155">
        <v>8.11</v>
      </c>
      <c r="B68" s="122" t="s">
        <v>73</v>
      </c>
      <c r="C68" s="109">
        <v>13</v>
      </c>
      <c r="D68" s="115" t="s">
        <v>33</v>
      </c>
      <c r="E68" s="109">
        <f>3910*0.65</f>
        <v>2541.5</v>
      </c>
      <c r="F68" s="110">
        <f t="shared" ref="F68" si="28">E68*C68</f>
        <v>33039.5</v>
      </c>
      <c r="G68" s="109"/>
      <c r="H68" s="110">
        <f t="shared" ref="H68" si="29">G68*C68</f>
        <v>0</v>
      </c>
      <c r="I68" s="116">
        <f t="shared" ref="I68" si="30">H68+F68</f>
        <v>33039.5</v>
      </c>
      <c r="J68" s="166" t="s">
        <v>27</v>
      </c>
    </row>
    <row r="69" spans="1:10" s="112" customFormat="1" ht="21" customHeight="1">
      <c r="A69" s="155">
        <v>8.1199999999999992</v>
      </c>
      <c r="B69" s="122" t="s">
        <v>74</v>
      </c>
      <c r="C69" s="109">
        <v>2</v>
      </c>
      <c r="D69" s="115" t="s">
        <v>33</v>
      </c>
      <c r="E69" s="109">
        <f>5160*0.65</f>
        <v>3354</v>
      </c>
      <c r="F69" s="110">
        <f t="shared" si="16"/>
        <v>6708</v>
      </c>
      <c r="G69" s="109"/>
      <c r="H69" s="110">
        <f t="shared" si="15"/>
        <v>0</v>
      </c>
      <c r="I69" s="116">
        <f t="shared" si="20"/>
        <v>6708</v>
      </c>
      <c r="J69" s="166" t="s">
        <v>27</v>
      </c>
    </row>
    <row r="70" spans="1:10" s="112" customFormat="1" ht="21" customHeight="1">
      <c r="A70" s="155">
        <v>8.1300000000000008</v>
      </c>
      <c r="B70" s="122" t="s">
        <v>75</v>
      </c>
      <c r="C70" s="109">
        <v>1</v>
      </c>
      <c r="D70" s="115" t="s">
        <v>33</v>
      </c>
      <c r="E70" s="109">
        <f>5160*0.65</f>
        <v>3354</v>
      </c>
      <c r="F70" s="110">
        <f t="shared" si="16"/>
        <v>3354</v>
      </c>
      <c r="G70" s="109"/>
      <c r="H70" s="110">
        <f t="shared" si="15"/>
        <v>0</v>
      </c>
      <c r="I70" s="116">
        <f t="shared" si="20"/>
        <v>3354</v>
      </c>
      <c r="J70" s="166" t="s">
        <v>27</v>
      </c>
    </row>
    <row r="71" spans="1:10" s="112" customFormat="1" ht="21" customHeight="1">
      <c r="A71" s="155">
        <v>8.14</v>
      </c>
      <c r="B71" s="122" t="s">
        <v>76</v>
      </c>
      <c r="C71" s="109">
        <v>3</v>
      </c>
      <c r="D71" s="115" t="s">
        <v>33</v>
      </c>
      <c r="E71" s="109">
        <f>5420*0.65</f>
        <v>3523</v>
      </c>
      <c r="F71" s="110">
        <f t="shared" ref="F71" si="31">E71*C71</f>
        <v>10569</v>
      </c>
      <c r="G71" s="109"/>
      <c r="H71" s="110">
        <f t="shared" ref="H71" si="32">G71*C71</f>
        <v>0</v>
      </c>
      <c r="I71" s="116">
        <f t="shared" ref="I71" si="33">H71+F71</f>
        <v>10569</v>
      </c>
      <c r="J71" s="166" t="s">
        <v>27</v>
      </c>
    </row>
    <row r="72" spans="1:10" s="112" customFormat="1" ht="21" customHeight="1">
      <c r="A72" s="155">
        <v>8.15</v>
      </c>
      <c r="B72" s="122" t="s">
        <v>77</v>
      </c>
      <c r="C72" s="109">
        <v>1</v>
      </c>
      <c r="D72" s="115" t="s">
        <v>33</v>
      </c>
      <c r="E72" s="109">
        <f>9690*0.65</f>
        <v>6298.5</v>
      </c>
      <c r="F72" s="110">
        <f t="shared" ref="F72:F74" si="34">E72*C72</f>
        <v>6298.5</v>
      </c>
      <c r="G72" s="109"/>
      <c r="H72" s="110">
        <f t="shared" ref="H72:H74" si="35">G72*C72</f>
        <v>0</v>
      </c>
      <c r="I72" s="116">
        <f t="shared" ref="I72:I74" si="36">H72+F72</f>
        <v>6298.5</v>
      </c>
      <c r="J72" s="166" t="s">
        <v>27</v>
      </c>
    </row>
    <row r="73" spans="1:10" s="112" customFormat="1" ht="21" customHeight="1">
      <c r="A73" s="155">
        <v>8.16</v>
      </c>
      <c r="B73" s="122" t="s">
        <v>78</v>
      </c>
      <c r="C73" s="109">
        <v>3</v>
      </c>
      <c r="D73" s="115" t="s">
        <v>33</v>
      </c>
      <c r="E73" s="109">
        <f>7820*0.65</f>
        <v>5083</v>
      </c>
      <c r="F73" s="110">
        <f t="shared" si="34"/>
        <v>15249</v>
      </c>
      <c r="G73" s="109"/>
      <c r="H73" s="110">
        <f t="shared" si="35"/>
        <v>0</v>
      </c>
      <c r="I73" s="116">
        <f t="shared" si="36"/>
        <v>15249</v>
      </c>
      <c r="J73" s="166" t="s">
        <v>27</v>
      </c>
    </row>
    <row r="74" spans="1:10" s="112" customFormat="1" ht="21" customHeight="1">
      <c r="A74" s="155">
        <v>8.17</v>
      </c>
      <c r="B74" s="122" t="s">
        <v>79</v>
      </c>
      <c r="C74" s="109">
        <v>2</v>
      </c>
      <c r="D74" s="115" t="s">
        <v>33</v>
      </c>
      <c r="E74" s="109">
        <f>7420*0.65</f>
        <v>4823</v>
      </c>
      <c r="F74" s="110">
        <f t="shared" si="34"/>
        <v>9646</v>
      </c>
      <c r="G74" s="109"/>
      <c r="H74" s="110">
        <f t="shared" si="35"/>
        <v>0</v>
      </c>
      <c r="I74" s="116">
        <f t="shared" si="36"/>
        <v>9646</v>
      </c>
      <c r="J74" s="166" t="s">
        <v>27</v>
      </c>
    </row>
    <row r="75" spans="1:10" s="112" customFormat="1" ht="21" customHeight="1">
      <c r="A75" s="155">
        <v>8.18</v>
      </c>
      <c r="B75" s="122" t="s">
        <v>80</v>
      </c>
      <c r="C75" s="109">
        <v>2</v>
      </c>
      <c r="D75" s="115" t="s">
        <v>33</v>
      </c>
      <c r="E75" s="109">
        <f>12400*0.65</f>
        <v>8060</v>
      </c>
      <c r="F75" s="110">
        <f t="shared" si="16"/>
        <v>16120</v>
      </c>
      <c r="G75" s="109"/>
      <c r="H75" s="110">
        <f t="shared" si="15"/>
        <v>0</v>
      </c>
      <c r="I75" s="116">
        <f t="shared" si="20"/>
        <v>16120</v>
      </c>
      <c r="J75" s="166" t="s">
        <v>27</v>
      </c>
    </row>
    <row r="76" spans="1:10" s="112" customFormat="1" ht="21" customHeight="1">
      <c r="A76" s="155">
        <v>8.19</v>
      </c>
      <c r="B76" s="122" t="s">
        <v>81</v>
      </c>
      <c r="C76" s="109">
        <v>4</v>
      </c>
      <c r="D76" s="115" t="s">
        <v>33</v>
      </c>
      <c r="E76" s="109">
        <f>12600*0.65</f>
        <v>8190</v>
      </c>
      <c r="F76" s="110">
        <f t="shared" si="16"/>
        <v>32760</v>
      </c>
      <c r="G76" s="109"/>
      <c r="H76" s="110">
        <f t="shared" si="15"/>
        <v>0</v>
      </c>
      <c r="I76" s="116">
        <f t="shared" si="20"/>
        <v>32760</v>
      </c>
      <c r="J76" s="166" t="s">
        <v>27</v>
      </c>
    </row>
    <row r="77" spans="1:10" s="112" customFormat="1" ht="21" customHeight="1">
      <c r="A77" s="159">
        <v>8.1999999999999993</v>
      </c>
      <c r="B77" s="122" t="s">
        <v>82</v>
      </c>
      <c r="C77" s="109">
        <v>2</v>
      </c>
      <c r="D77" s="115" t="s">
        <v>33</v>
      </c>
      <c r="E77" s="109">
        <f>17400*0.65</f>
        <v>11310</v>
      </c>
      <c r="F77" s="110">
        <f t="shared" ref="F77" si="37">E77*C77</f>
        <v>22620</v>
      </c>
      <c r="G77" s="109"/>
      <c r="H77" s="110">
        <f t="shared" ref="H77" si="38">G77*C77</f>
        <v>0</v>
      </c>
      <c r="I77" s="116">
        <f t="shared" ref="I77" si="39">H77+F77</f>
        <v>22620</v>
      </c>
      <c r="J77" s="166" t="s">
        <v>27</v>
      </c>
    </row>
    <row r="78" spans="1:10" s="112" customFormat="1" ht="21" customHeight="1">
      <c r="A78" s="155">
        <v>8.2100000000000009</v>
      </c>
      <c r="B78" s="122" t="s">
        <v>83</v>
      </c>
      <c r="C78" s="109">
        <v>2</v>
      </c>
      <c r="D78" s="115" t="s">
        <v>33</v>
      </c>
      <c r="E78" s="109">
        <f>20200*0.65</f>
        <v>13130</v>
      </c>
      <c r="F78" s="110">
        <f t="shared" si="16"/>
        <v>26260</v>
      </c>
      <c r="G78" s="109"/>
      <c r="H78" s="110">
        <f t="shared" si="15"/>
        <v>0</v>
      </c>
      <c r="I78" s="116">
        <f t="shared" si="20"/>
        <v>26260</v>
      </c>
      <c r="J78" s="166" t="s">
        <v>27</v>
      </c>
    </row>
    <row r="79" spans="1:10" s="112" customFormat="1" ht="21" customHeight="1">
      <c r="A79" s="155">
        <v>8.2200000000000006</v>
      </c>
      <c r="B79" s="122" t="s">
        <v>84</v>
      </c>
      <c r="C79" s="109">
        <v>1</v>
      </c>
      <c r="D79" s="115" t="s">
        <v>33</v>
      </c>
      <c r="E79" s="109">
        <f>31500*0.65</f>
        <v>20475</v>
      </c>
      <c r="F79" s="110">
        <f t="shared" si="16"/>
        <v>20475</v>
      </c>
      <c r="G79" s="109"/>
      <c r="H79" s="110">
        <f t="shared" si="15"/>
        <v>0</v>
      </c>
      <c r="I79" s="116">
        <f t="shared" si="20"/>
        <v>20475</v>
      </c>
      <c r="J79" s="166" t="s">
        <v>27</v>
      </c>
    </row>
    <row r="80" spans="1:10" s="112" customFormat="1" ht="21" customHeight="1" thickBot="1">
      <c r="A80" s="169"/>
      <c r="B80" s="129"/>
      <c r="C80" s="168"/>
      <c r="D80" s="130"/>
      <c r="E80" s="189"/>
      <c r="F80" s="131"/>
      <c r="G80" s="109"/>
      <c r="H80" s="131"/>
      <c r="I80" s="132"/>
      <c r="J80" s="109"/>
    </row>
    <row r="81" spans="1:15" ht="21" customHeight="1" thickBot="1">
      <c r="A81" s="171"/>
      <c r="B81" s="172" t="s">
        <v>138</v>
      </c>
      <c r="C81" s="173"/>
      <c r="D81" s="173"/>
      <c r="E81" s="174"/>
      <c r="F81" s="174">
        <f>SUM(F13:F80)</f>
        <v>1284429.6959000002</v>
      </c>
      <c r="G81" s="174"/>
      <c r="H81" s="174">
        <f>SUM(H13:H80)</f>
        <v>217362.84000000003</v>
      </c>
      <c r="I81" s="175">
        <f>F81+H81</f>
        <v>1501792.5359000002</v>
      </c>
      <c r="J81" s="176"/>
    </row>
    <row r="82" spans="1:15" ht="21" customHeight="1">
      <c r="A82" s="103"/>
      <c r="B82" s="104" t="s">
        <v>156</v>
      </c>
      <c r="C82" s="109"/>
      <c r="D82" s="115"/>
      <c r="E82" s="191"/>
      <c r="F82" s="110"/>
      <c r="G82" s="109"/>
      <c r="H82" s="110"/>
      <c r="I82" s="116"/>
      <c r="J82" s="166"/>
    </row>
    <row r="83" spans="1:15" ht="21" customHeight="1">
      <c r="A83" s="103">
        <v>9</v>
      </c>
      <c r="B83" s="104" t="s">
        <v>157</v>
      </c>
      <c r="C83" s="109"/>
      <c r="D83" s="115"/>
      <c r="E83" s="191"/>
      <c r="F83" s="110"/>
      <c r="G83" s="109"/>
      <c r="H83" s="110"/>
      <c r="I83" s="116"/>
      <c r="J83" s="166"/>
    </row>
    <row r="84" spans="1:15" ht="21" customHeight="1">
      <c r="A84" s="166">
        <v>9.1</v>
      </c>
      <c r="B84" s="167" t="s">
        <v>133</v>
      </c>
      <c r="C84" s="109">
        <v>65</v>
      </c>
      <c r="D84" s="109" t="s">
        <v>9</v>
      </c>
      <c r="E84" s="188">
        <v>541</v>
      </c>
      <c r="F84" s="110">
        <f>E84*C84</f>
        <v>35165</v>
      </c>
      <c r="G84" s="109">
        <v>130</v>
      </c>
      <c r="H84" s="110">
        <f t="shared" ref="H84:H89" si="40">G84*C84</f>
        <v>8450</v>
      </c>
      <c r="I84" s="111">
        <f>F84+H84</f>
        <v>43615</v>
      </c>
      <c r="J84" s="166" t="s">
        <v>22</v>
      </c>
    </row>
    <row r="85" spans="1:15" ht="42" customHeight="1">
      <c r="A85" s="155">
        <v>9.1999999999999993</v>
      </c>
      <c r="B85" s="145" t="s">
        <v>141</v>
      </c>
      <c r="C85" s="109">
        <v>65</v>
      </c>
      <c r="D85" s="109" t="s">
        <v>9</v>
      </c>
      <c r="E85" s="191">
        <v>47</v>
      </c>
      <c r="F85" s="110">
        <f t="shared" ref="F85:F89" si="41">E85*C85</f>
        <v>3055</v>
      </c>
      <c r="G85" s="109">
        <v>34</v>
      </c>
      <c r="H85" s="110">
        <f t="shared" si="40"/>
        <v>2210</v>
      </c>
      <c r="I85" s="142">
        <f t="shared" ref="I85:I89" si="42">F85+H85</f>
        <v>5265</v>
      </c>
      <c r="J85" s="166" t="s">
        <v>22</v>
      </c>
    </row>
    <row r="86" spans="1:15" ht="21" customHeight="1">
      <c r="A86" s="166">
        <v>9.3000000000000007</v>
      </c>
      <c r="B86" s="146" t="s">
        <v>134</v>
      </c>
      <c r="C86" s="109">
        <v>35</v>
      </c>
      <c r="D86" s="109" t="s">
        <v>9</v>
      </c>
      <c r="E86" s="147">
        <v>298</v>
      </c>
      <c r="F86" s="110">
        <f t="shared" si="41"/>
        <v>10430</v>
      </c>
      <c r="G86" s="147">
        <v>75</v>
      </c>
      <c r="H86" s="110">
        <f t="shared" si="40"/>
        <v>2625</v>
      </c>
      <c r="I86" s="111">
        <f t="shared" si="42"/>
        <v>13055</v>
      </c>
      <c r="J86" s="166" t="s">
        <v>22</v>
      </c>
    </row>
    <row r="87" spans="1:15" ht="21" customHeight="1">
      <c r="A87" s="166">
        <v>9.4</v>
      </c>
      <c r="B87" s="184" t="s">
        <v>135</v>
      </c>
      <c r="C87" s="109">
        <v>35</v>
      </c>
      <c r="D87" s="109" t="s">
        <v>9</v>
      </c>
      <c r="E87" s="191">
        <v>33</v>
      </c>
      <c r="F87" s="110">
        <f t="shared" si="41"/>
        <v>1155</v>
      </c>
      <c r="G87" s="109">
        <v>30</v>
      </c>
      <c r="H87" s="110">
        <f t="shared" si="40"/>
        <v>1050</v>
      </c>
      <c r="I87" s="111">
        <f t="shared" si="42"/>
        <v>2205</v>
      </c>
      <c r="J87" s="166" t="s">
        <v>22</v>
      </c>
    </row>
    <row r="88" spans="1:15" ht="21" customHeight="1">
      <c r="A88" s="155">
        <v>9.5</v>
      </c>
      <c r="B88" s="141" t="s">
        <v>136</v>
      </c>
      <c r="C88" s="147">
        <v>1</v>
      </c>
      <c r="D88" s="109" t="s">
        <v>21</v>
      </c>
      <c r="E88" s="109">
        <v>5500</v>
      </c>
      <c r="F88" s="110">
        <f t="shared" si="41"/>
        <v>5500</v>
      </c>
      <c r="G88" s="109">
        <v>250</v>
      </c>
      <c r="H88" s="110">
        <f t="shared" si="40"/>
        <v>250</v>
      </c>
      <c r="I88" s="111">
        <f t="shared" si="42"/>
        <v>5750</v>
      </c>
      <c r="J88" s="166" t="s">
        <v>22</v>
      </c>
    </row>
    <row r="89" spans="1:15" ht="21" customHeight="1">
      <c r="A89" s="166">
        <v>9.6</v>
      </c>
      <c r="B89" s="146" t="s">
        <v>137</v>
      </c>
      <c r="C89" s="148">
        <v>4</v>
      </c>
      <c r="D89" s="147" t="s">
        <v>21</v>
      </c>
      <c r="E89" s="147">
        <v>220</v>
      </c>
      <c r="F89" s="110">
        <f t="shared" si="41"/>
        <v>880</v>
      </c>
      <c r="G89" s="147">
        <v>0</v>
      </c>
      <c r="H89" s="110">
        <f t="shared" si="40"/>
        <v>0</v>
      </c>
      <c r="I89" s="111">
        <f t="shared" si="42"/>
        <v>880</v>
      </c>
      <c r="J89" s="166" t="s">
        <v>22</v>
      </c>
    </row>
    <row r="90" spans="1:15" ht="21" customHeight="1" thickBot="1">
      <c r="A90" s="144"/>
      <c r="B90" s="149"/>
      <c r="C90" s="150"/>
      <c r="D90" s="150"/>
      <c r="E90" s="150"/>
      <c r="F90" s="110"/>
      <c r="G90" s="150"/>
      <c r="H90" s="110"/>
      <c r="I90" s="111"/>
      <c r="J90" s="151"/>
    </row>
    <row r="91" spans="1:15" ht="21" customHeight="1" thickBot="1">
      <c r="A91" s="171"/>
      <c r="B91" s="172" t="s">
        <v>139</v>
      </c>
      <c r="C91" s="173"/>
      <c r="D91" s="173"/>
      <c r="E91" s="174"/>
      <c r="F91" s="174">
        <f>SUM(F82:F90)</f>
        <v>56185</v>
      </c>
      <c r="G91" s="174"/>
      <c r="H91" s="174">
        <f>SUM(H82:H90)</f>
        <v>14585</v>
      </c>
      <c r="I91" s="175">
        <f>F91+H91</f>
        <v>70770</v>
      </c>
      <c r="J91" s="176"/>
    </row>
    <row r="92" spans="1:15" s="112" customFormat="1" ht="21" customHeight="1">
      <c r="A92" s="152"/>
      <c r="B92" s="185" t="s">
        <v>158</v>
      </c>
      <c r="C92" s="186"/>
      <c r="D92" s="186"/>
      <c r="E92" s="153"/>
      <c r="F92" s="125"/>
      <c r="G92" s="125"/>
      <c r="H92" s="153"/>
      <c r="I92" s="153"/>
      <c r="J92" s="154"/>
      <c r="L92" s="177"/>
      <c r="M92" s="177"/>
      <c r="N92" s="177"/>
      <c r="O92" s="100"/>
    </row>
    <row r="93" spans="1:15" s="112" customFormat="1" ht="21" customHeight="1">
      <c r="A93" s="136">
        <v>10</v>
      </c>
      <c r="B93" s="193" t="s">
        <v>85</v>
      </c>
      <c r="C93" s="105"/>
      <c r="D93" s="105"/>
      <c r="E93" s="125"/>
      <c r="F93" s="125"/>
      <c r="G93" s="125"/>
      <c r="H93" s="125"/>
      <c r="I93" s="125"/>
      <c r="J93" s="138"/>
      <c r="L93" s="177"/>
      <c r="M93" s="177"/>
      <c r="N93" s="177"/>
      <c r="O93" s="100"/>
    </row>
    <row r="94" spans="1:15" s="112" customFormat="1" ht="21" customHeight="1">
      <c r="A94" s="117">
        <v>10.1</v>
      </c>
      <c r="B94" s="127" t="s">
        <v>131</v>
      </c>
      <c r="C94" s="105">
        <v>1</v>
      </c>
      <c r="D94" s="109" t="s">
        <v>86</v>
      </c>
      <c r="E94" s="192">
        <v>42523</v>
      </c>
      <c r="F94" s="125">
        <f t="shared" ref="F94" si="43">E94*C94</f>
        <v>42523</v>
      </c>
      <c r="G94" s="119"/>
      <c r="H94" s="119">
        <f t="shared" ref="H94" si="44">G94*C94</f>
        <v>0</v>
      </c>
      <c r="I94" s="125">
        <f>F94+H94</f>
        <v>42523</v>
      </c>
      <c r="J94" s="126" t="s">
        <v>22</v>
      </c>
      <c r="L94" s="177"/>
      <c r="M94" s="177"/>
      <c r="N94" s="177"/>
      <c r="O94" s="100"/>
    </row>
    <row r="95" spans="1:15" s="112" customFormat="1" ht="21" customHeight="1">
      <c r="A95" s="117">
        <v>10.199999999999999</v>
      </c>
      <c r="B95" s="127" t="s">
        <v>132</v>
      </c>
      <c r="C95" s="105">
        <v>1</v>
      </c>
      <c r="D95" s="109" t="s">
        <v>86</v>
      </c>
      <c r="E95" s="192">
        <v>38785</v>
      </c>
      <c r="F95" s="125">
        <f t="shared" ref="F95" si="45">E95*C95</f>
        <v>38785</v>
      </c>
      <c r="G95" s="119"/>
      <c r="H95" s="119">
        <f t="shared" ref="H95" si="46">G95*C95</f>
        <v>0</v>
      </c>
      <c r="I95" s="125">
        <f>F95+H95</f>
        <v>38785</v>
      </c>
      <c r="J95" s="126" t="s">
        <v>22</v>
      </c>
      <c r="L95" s="177"/>
      <c r="M95" s="177"/>
      <c r="N95" s="177"/>
      <c r="O95" s="100"/>
    </row>
    <row r="96" spans="1:15" ht="21" customHeight="1" thickBot="1">
      <c r="A96" s="178"/>
      <c r="C96" s="150"/>
      <c r="D96" s="149"/>
      <c r="E96" s="149"/>
      <c r="F96" s="149"/>
      <c r="G96" s="149"/>
      <c r="H96" s="149"/>
      <c r="I96" s="149"/>
      <c r="J96" s="179"/>
      <c r="L96" s="180"/>
      <c r="M96" s="180"/>
      <c r="N96" s="180"/>
    </row>
    <row r="97" spans="1:14" ht="21" customHeight="1" thickBot="1">
      <c r="A97" s="171"/>
      <c r="B97" s="172" t="s">
        <v>140</v>
      </c>
      <c r="C97" s="173"/>
      <c r="D97" s="173"/>
      <c r="E97" s="174"/>
      <c r="F97" s="174">
        <f>SUM(F93:F96)</f>
        <v>81308</v>
      </c>
      <c r="G97" s="174"/>
      <c r="H97" s="174">
        <f>SUM(H93:H96)</f>
        <v>0</v>
      </c>
      <c r="I97" s="175">
        <f>F97+H97</f>
        <v>81308</v>
      </c>
      <c r="J97" s="176"/>
      <c r="L97" s="180"/>
      <c r="M97" s="180"/>
      <c r="N97" s="180"/>
    </row>
    <row r="98" spans="1:14" ht="21" customHeight="1">
      <c r="A98" s="101"/>
      <c r="C98" s="181"/>
      <c r="D98" s="101"/>
      <c r="E98" s="101"/>
      <c r="F98" s="101"/>
      <c r="G98" s="101"/>
      <c r="H98" s="101"/>
      <c r="I98" s="101"/>
    </row>
    <row r="99" spans="1:14" ht="21" customHeight="1">
      <c r="A99" s="194" t="s">
        <v>87</v>
      </c>
      <c r="B99" s="194"/>
      <c r="C99" s="194"/>
      <c r="D99" s="194"/>
    </row>
    <row r="100" spans="1:14" ht="21" customHeight="1">
      <c r="A100" s="100" t="s">
        <v>88</v>
      </c>
      <c r="C100" s="182"/>
    </row>
    <row r="101" spans="1:14" ht="21" customHeight="1">
      <c r="A101" s="100" t="s">
        <v>89</v>
      </c>
      <c r="C101" s="182"/>
    </row>
    <row r="102" spans="1:14" ht="21" customHeight="1">
      <c r="A102" s="100" t="s">
        <v>90</v>
      </c>
      <c r="C102" s="182"/>
    </row>
    <row r="103" spans="1:14" ht="21" customHeight="1">
      <c r="A103" s="100" t="s">
        <v>91</v>
      </c>
      <c r="C103" s="182"/>
    </row>
    <row r="104" spans="1:14" ht="21" customHeight="1">
      <c r="A104" s="100" t="s">
        <v>92</v>
      </c>
      <c r="C104" s="182"/>
    </row>
    <row r="105" spans="1:14" ht="21" customHeight="1">
      <c r="A105" s="100" t="s">
        <v>93</v>
      </c>
      <c r="C105" s="182"/>
    </row>
    <row r="106" spans="1:14" ht="21" customHeight="1">
      <c r="A106" s="100" t="s">
        <v>94</v>
      </c>
      <c r="C106" s="182"/>
    </row>
    <row r="109" spans="1:14" ht="21" customHeight="1">
      <c r="B109" s="183"/>
    </row>
    <row r="118" spans="1:1" ht="21" customHeight="1">
      <c r="A118" s="100"/>
    </row>
  </sheetData>
  <mergeCells count="9">
    <mergeCell ref="A99:D99"/>
    <mergeCell ref="A1:J1"/>
    <mergeCell ref="A9:A10"/>
    <mergeCell ref="B9:B10"/>
    <mergeCell ref="C9:C10"/>
    <mergeCell ref="D9:D10"/>
    <mergeCell ref="E9:F9"/>
    <mergeCell ref="G9:H9"/>
    <mergeCell ref="J9:J10"/>
  </mergeCells>
  <printOptions horizontalCentered="1"/>
  <pageMargins left="0.47244094488188981" right="0.47244094488188981" top="0.43307086614173229" bottom="0.19685039370078741" header="0.27559055118110237" footer="0.11811023622047245"/>
  <pageSetup paperSize="9" orientation="landscape" r:id="rId1"/>
  <headerFooter>
    <oddHeader>&amp;R&amp;"TH SarabunPSK,Bold"&amp;14แบบ ปร.4  แผ่นที่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5"/>
  <sheetViews>
    <sheetView showGridLines="0" view="pageBreakPreview" zoomScaleNormal="100" zoomScaleSheetLayoutView="100" workbookViewId="0">
      <selection activeCell="C15" sqref="C15"/>
    </sheetView>
  </sheetViews>
  <sheetFormatPr defaultColWidth="2.1640625" defaultRowHeight="21" zeroHeight="1"/>
  <cols>
    <col min="1" max="1" width="10.83203125" style="2" customWidth="1"/>
    <col min="2" max="2" width="40.83203125" style="2" customWidth="1"/>
    <col min="3" max="3" width="16.6640625" style="2" customWidth="1"/>
    <col min="4" max="4" width="10.1640625" style="2" customWidth="1"/>
    <col min="5" max="5" width="17" style="2" customWidth="1"/>
    <col min="6" max="6" width="12" style="2" customWidth="1"/>
    <col min="7" max="11" width="2.1640625" style="2"/>
    <col min="12" max="12" width="21.33203125" style="2" customWidth="1"/>
    <col min="13" max="16384" width="2.1640625" style="2"/>
  </cols>
  <sheetData>
    <row r="1" spans="1:6" s="8" customFormat="1" ht="21" customHeight="1">
      <c r="E1" s="9" t="s">
        <v>95</v>
      </c>
      <c r="F1" s="9"/>
    </row>
    <row r="2" spans="1:6" ht="21" customHeight="1">
      <c r="A2" s="202" t="s">
        <v>96</v>
      </c>
      <c r="B2" s="202"/>
      <c r="C2" s="202"/>
      <c r="D2" s="202"/>
      <c r="E2" s="202"/>
      <c r="F2" s="202"/>
    </row>
    <row r="3" spans="1:6" ht="21" customHeight="1">
      <c r="A3" s="10" t="str">
        <f>ชื่อโครงการ!A4</f>
        <v>กลุ่มงาน : งานปรับปรุงอาคาร</v>
      </c>
      <c r="B3" s="10"/>
      <c r="C3" s="10"/>
      <c r="D3" s="10"/>
      <c r="E3" s="10"/>
      <c r="F3" s="10"/>
    </row>
    <row r="4" spans="1:6" ht="21" customHeight="1">
      <c r="A4" s="187" t="str">
        <f>ชื่อโครงการ!A2</f>
        <v xml:space="preserve">ชื่อโครงการ :สำหรับการจ้าง ปรับปรุงโรงฝึกปฏิบัติงานออกแบบอุตสาหกรรม แห่งการเรียนรู้เพื่อผลิตบัณฑิตสู่อุตสาหกรรมสร้างสรรค์ </v>
      </c>
      <c r="B4" s="4"/>
      <c r="C4" s="4"/>
      <c r="D4" s="4"/>
      <c r="E4" s="4"/>
      <c r="F4" s="4"/>
    </row>
    <row r="5" spans="1:6" ht="21" customHeight="1">
      <c r="A5" s="187" t="str">
        <f>ชื่อโครงการ!A3</f>
        <v xml:space="preserve">                 ตำบลในเมือง อำเภอเมืองนครราชสีมา จังหวัดนครราชสีมา จำนวน 1 รายการ</v>
      </c>
      <c r="B5" s="4"/>
      <c r="C5" s="4"/>
      <c r="D5" s="4"/>
      <c r="E5" s="4"/>
      <c r="F5" s="4"/>
    </row>
    <row r="6" spans="1:6" ht="21" customHeight="1">
      <c r="A6" s="3" t="str">
        <f>ชื่อโครงการ!A11</f>
        <v>สถานที่ก่อสร้าง : 744 ถนนสุรนารายณ์ ตำบลในเมือง อำเภอเมืองนครราชสีมา จังหวัดนครราชสีมา</v>
      </c>
      <c r="B6" s="4"/>
      <c r="C6" s="4"/>
      <c r="D6" s="4"/>
      <c r="E6" s="4"/>
      <c r="F6" s="4"/>
    </row>
    <row r="7" spans="1:6" ht="21" customHeight="1">
      <c r="A7" s="4" t="str">
        <f>[2]ชื่อโครงการ!B5</f>
        <v>แบบเลขที่</v>
      </c>
      <c r="B7" s="4"/>
      <c r="C7" s="4"/>
      <c r="D7" s="4"/>
      <c r="E7" s="4"/>
      <c r="F7" s="4"/>
    </row>
    <row r="8" spans="1:6" ht="21" customHeight="1">
      <c r="A8" s="3" t="str">
        <f>ชื่อโครงการ!A13</f>
        <v>หน่วยงานเจ้าของโครงการ : คณะสถาปัตยกรรมศาสตร์และศิลปกรรมสร้างสรรค์ มหาวิทยาลัยเทคโนโลยีราชมงคลอีสาน</v>
      </c>
      <c r="B8" s="4"/>
      <c r="C8" s="4"/>
      <c r="D8" s="4"/>
      <c r="E8" s="4"/>
      <c r="F8" s="4"/>
    </row>
    <row r="9" spans="1:6" ht="21" customHeight="1">
      <c r="A9" s="3" t="s">
        <v>147</v>
      </c>
      <c r="B9" s="4"/>
      <c r="C9" s="4"/>
      <c r="D9" s="4"/>
      <c r="E9" s="4"/>
      <c r="F9" s="4"/>
    </row>
    <row r="10" spans="1:6" ht="21" customHeight="1">
      <c r="A10" s="3" t="str">
        <f>ชื่อโครงการ!A9</f>
        <v>คำนวณราคากลาง : โดยคณะกรรมการกำหนดราคากลาง  เมื่อวันที่ 15  เดือน พฤษภาคม พ.ศ. 2567</v>
      </c>
      <c r="B10" s="4"/>
      <c r="C10" s="4"/>
      <c r="D10" s="4"/>
      <c r="E10" s="4"/>
      <c r="F10" s="4"/>
    </row>
    <row r="11" spans="1:6" ht="21" customHeight="1" thickBot="1">
      <c r="A11" s="11" t="s">
        <v>2</v>
      </c>
      <c r="B11" s="11" t="s">
        <v>2</v>
      </c>
      <c r="C11" s="12" t="s">
        <v>2</v>
      </c>
      <c r="D11" s="11" t="s">
        <v>2</v>
      </c>
      <c r="E11" s="12" t="s">
        <v>2</v>
      </c>
      <c r="F11" s="11" t="s">
        <v>3</v>
      </c>
    </row>
    <row r="12" spans="1:6" ht="21" customHeight="1" thickTop="1">
      <c r="A12" s="203" t="s">
        <v>6</v>
      </c>
      <c r="B12" s="203" t="s">
        <v>0</v>
      </c>
      <c r="C12" s="203" t="s">
        <v>97</v>
      </c>
      <c r="D12" s="203" t="s">
        <v>98</v>
      </c>
      <c r="E12" s="203" t="s">
        <v>99</v>
      </c>
      <c r="F12" s="203" t="s">
        <v>5</v>
      </c>
    </row>
    <row r="13" spans="1:6" ht="21" customHeight="1" thickBot="1">
      <c r="A13" s="208"/>
      <c r="B13" s="208"/>
      <c r="C13" s="204"/>
      <c r="D13" s="208"/>
      <c r="E13" s="204"/>
      <c r="F13" s="208"/>
    </row>
    <row r="14" spans="1:6" ht="21" customHeight="1" thickTop="1">
      <c r="A14" s="20">
        <v>1</v>
      </c>
      <c r="B14" s="16" t="str">
        <f>ปร.4!B81</f>
        <v>รวมหมวด1 งานวิศวกรรมไฟฟ้า</v>
      </c>
      <c r="C14" s="17">
        <f>ปร.4!I81</f>
        <v>1501792.5359000002</v>
      </c>
      <c r="D14" s="30">
        <v>1.3058000000000001</v>
      </c>
      <c r="E14" s="5">
        <f>C14*D14</f>
        <v>1961040.6933782205</v>
      </c>
      <c r="F14" s="19"/>
    </row>
    <row r="15" spans="1:6" ht="21" customHeight="1">
      <c r="A15" s="15">
        <v>2</v>
      </c>
      <c r="B15" s="16" t="str">
        <f>ปร.4!B91</f>
        <v>รวมหมวด2 งานสถาปัตยกรรม</v>
      </c>
      <c r="C15" s="5">
        <f>ปร.4!I91</f>
        <v>70770</v>
      </c>
      <c r="D15" s="30">
        <v>1.3058000000000001</v>
      </c>
      <c r="E15" s="5">
        <f>C15*D15</f>
        <v>92411.466</v>
      </c>
      <c r="F15" s="19" t="s">
        <v>2</v>
      </c>
    </row>
    <row r="16" spans="1:6" ht="21" customHeight="1">
      <c r="A16" s="15"/>
      <c r="B16" s="16"/>
      <c r="C16" s="31"/>
      <c r="D16" s="30"/>
      <c r="E16" s="5"/>
      <c r="F16" s="19"/>
    </row>
    <row r="17" spans="1:12" ht="21" customHeight="1">
      <c r="A17" s="20"/>
      <c r="B17" s="16"/>
      <c r="C17" s="19"/>
      <c r="D17" s="30"/>
      <c r="E17" s="5"/>
      <c r="F17" s="19"/>
    </row>
    <row r="18" spans="1:12" ht="21" customHeight="1">
      <c r="A18" s="20"/>
      <c r="B18" s="16"/>
      <c r="C18" s="19"/>
      <c r="D18" s="30"/>
      <c r="E18" s="5"/>
      <c r="F18" s="19"/>
    </row>
    <row r="19" spans="1:12" ht="21" customHeight="1">
      <c r="A19" s="20"/>
      <c r="B19" s="16"/>
      <c r="C19" s="19"/>
      <c r="D19" s="30"/>
      <c r="E19" s="5"/>
      <c r="F19" s="19"/>
    </row>
    <row r="20" spans="1:12" ht="21" customHeight="1">
      <c r="A20" s="20"/>
      <c r="B20" s="16"/>
      <c r="C20" s="32"/>
      <c r="D20" s="30"/>
      <c r="E20" s="5"/>
      <c r="F20" s="19"/>
    </row>
    <row r="21" spans="1:12" ht="21" customHeight="1">
      <c r="A21" s="20"/>
      <c r="B21" s="33"/>
      <c r="C21" s="32"/>
      <c r="D21" s="19"/>
      <c r="E21" s="31"/>
      <c r="F21" s="19"/>
      <c r="L21" s="88"/>
    </row>
    <row r="22" spans="1:12" ht="21" customHeight="1">
      <c r="A22" s="19"/>
      <c r="B22" s="34" t="s">
        <v>100</v>
      </c>
      <c r="C22" s="19"/>
      <c r="D22" s="19"/>
      <c r="E22" s="31"/>
      <c r="F22" s="19"/>
      <c r="L22" s="88"/>
    </row>
    <row r="23" spans="1:12" ht="21" customHeight="1">
      <c r="A23" s="19"/>
      <c r="B23" s="35" t="s">
        <v>101</v>
      </c>
      <c r="C23" s="19"/>
      <c r="D23" s="19"/>
      <c r="E23" s="31"/>
      <c r="F23" s="19"/>
    </row>
    <row r="24" spans="1:12" ht="21" customHeight="1">
      <c r="A24" s="19"/>
      <c r="B24" s="35" t="s">
        <v>102</v>
      </c>
      <c r="C24" s="19"/>
      <c r="D24" s="19"/>
      <c r="E24" s="31"/>
      <c r="F24" s="19"/>
    </row>
    <row r="25" spans="1:12" ht="21" customHeight="1">
      <c r="A25" s="19"/>
      <c r="B25" s="36" t="s">
        <v>103</v>
      </c>
      <c r="C25" s="10"/>
      <c r="D25" s="19"/>
      <c r="E25" s="31"/>
      <c r="F25" s="19"/>
      <c r="L25" s="88">
        <f>C14+C15</f>
        <v>1572562.5359000002</v>
      </c>
    </row>
    <row r="26" spans="1:12" ht="21" customHeight="1" thickBot="1">
      <c r="A26" s="26"/>
      <c r="B26" s="37" t="s">
        <v>104</v>
      </c>
      <c r="C26" s="38"/>
      <c r="D26" s="26"/>
      <c r="E26" s="39"/>
      <c r="F26" s="26"/>
    </row>
    <row r="27" spans="1:12" ht="21" customHeight="1" thickTop="1" thickBot="1">
      <c r="A27" s="1"/>
      <c r="B27" s="1"/>
      <c r="C27" s="205" t="s">
        <v>105</v>
      </c>
      <c r="D27" s="206"/>
      <c r="E27" s="40">
        <f>SUM(E14:E26)</f>
        <v>2053452.1593782206</v>
      </c>
      <c r="F27" s="1"/>
    </row>
    <row r="28" spans="1:12" s="44" customFormat="1" ht="21" customHeight="1" thickTop="1">
      <c r="A28" s="71"/>
      <c r="B28" s="72"/>
      <c r="C28" s="73"/>
      <c r="D28" s="73"/>
      <c r="E28" s="73"/>
    </row>
    <row r="29" spans="1:12" s="44" customFormat="1">
      <c r="A29" s="207" t="s">
        <v>106</v>
      </c>
      <c r="B29" s="207"/>
      <c r="C29" s="42"/>
      <c r="D29" s="42"/>
      <c r="E29" s="73"/>
    </row>
    <row r="30" spans="1:12" s="44" customFormat="1" ht="21" customHeight="1">
      <c r="A30" s="90"/>
      <c r="B30" s="91"/>
      <c r="D30" s="74"/>
      <c r="E30" s="73"/>
    </row>
    <row r="31" spans="1:12" s="44" customFormat="1">
      <c r="A31" s="201" t="s">
        <v>107</v>
      </c>
      <c r="B31" s="201"/>
      <c r="C31" s="201"/>
      <c r="D31" s="201"/>
      <c r="E31" s="201"/>
      <c r="F31" s="201"/>
      <c r="G31" s="201"/>
    </row>
    <row r="32" spans="1:12" s="44" customFormat="1">
      <c r="A32" s="201" t="s">
        <v>148</v>
      </c>
      <c r="B32" s="201"/>
      <c r="C32" s="201"/>
      <c r="D32" s="201"/>
      <c r="E32" s="201"/>
      <c r="F32" s="201"/>
      <c r="G32" s="201"/>
    </row>
    <row r="33" spans="1:7" s="44" customFormat="1">
      <c r="A33" s="201" t="s">
        <v>108</v>
      </c>
      <c r="B33" s="201"/>
      <c r="C33" s="201"/>
      <c r="D33" s="201"/>
      <c r="E33" s="201"/>
      <c r="F33" s="201"/>
      <c r="G33" s="201"/>
    </row>
    <row r="34" spans="1:7" s="44" customFormat="1" ht="21" customHeight="1">
      <c r="A34" s="75"/>
      <c r="B34" s="75"/>
      <c r="D34" s="75"/>
      <c r="E34" s="76"/>
    </row>
    <row r="35" spans="1:7" s="44" customFormat="1" ht="21" customHeight="1">
      <c r="A35" s="92"/>
      <c r="B35" s="92"/>
      <c r="D35" s="92"/>
      <c r="E35" s="73"/>
    </row>
    <row r="36" spans="1:7" s="44" customFormat="1">
      <c r="A36" s="201" t="s">
        <v>144</v>
      </c>
      <c r="B36" s="201"/>
      <c r="C36" s="201" t="s">
        <v>144</v>
      </c>
      <c r="D36" s="201"/>
      <c r="E36" s="201"/>
      <c r="F36" s="201"/>
    </row>
    <row r="37" spans="1:7" s="44" customFormat="1">
      <c r="A37" s="201" t="s">
        <v>149</v>
      </c>
      <c r="B37" s="201"/>
      <c r="C37" s="201" t="s">
        <v>145</v>
      </c>
      <c r="D37" s="201"/>
      <c r="E37" s="201"/>
      <c r="F37" s="201"/>
    </row>
    <row r="38" spans="1:7" s="44" customFormat="1">
      <c r="A38" s="211" t="s">
        <v>150</v>
      </c>
      <c r="B38" s="211"/>
      <c r="C38" s="201" t="s">
        <v>146</v>
      </c>
      <c r="D38" s="201"/>
      <c r="E38" s="201"/>
      <c r="F38" s="201"/>
    </row>
    <row r="39" spans="1:7" s="44" customFormat="1" ht="21" customHeight="1">
      <c r="A39" s="75"/>
      <c r="B39" s="75"/>
      <c r="D39" s="75"/>
    </row>
    <row r="40" spans="1:7" s="44" customFormat="1" ht="21" customHeight="1"/>
    <row r="41" spans="1:7" ht="21" customHeight="1">
      <c r="A41" s="1"/>
      <c r="B41" s="1"/>
      <c r="C41" s="1"/>
      <c r="D41" s="1"/>
      <c r="E41" s="1"/>
      <c r="F41" s="1"/>
    </row>
    <row r="42" spans="1:7" ht="21" customHeight="1">
      <c r="A42" s="209"/>
      <c r="B42" s="209"/>
      <c r="C42" s="209"/>
      <c r="D42" s="209"/>
      <c r="E42" s="209"/>
      <c r="F42" s="209"/>
    </row>
    <row r="43" spans="1:7" ht="21" customHeight="1">
      <c r="A43" s="210"/>
      <c r="B43" s="210"/>
      <c r="C43" s="210"/>
      <c r="D43" s="210"/>
      <c r="E43" s="210"/>
      <c r="F43" s="210"/>
    </row>
    <row r="44" spans="1:7" ht="21" customHeight="1">
      <c r="A44" s="7"/>
      <c r="C44" s="1"/>
      <c r="E44" s="7"/>
      <c r="F44" s="1"/>
    </row>
    <row r="45" spans="1:7" ht="21" customHeight="1"/>
    <row r="46" spans="1:7" ht="21" customHeight="1"/>
    <row r="47" spans="1:7" ht="21" customHeight="1"/>
    <row r="48" spans="1:7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</sheetData>
  <mergeCells count="20">
    <mergeCell ref="A42:F42"/>
    <mergeCell ref="A43:F43"/>
    <mergeCell ref="A37:B37"/>
    <mergeCell ref="A38:B38"/>
    <mergeCell ref="A33:G33"/>
    <mergeCell ref="C36:F36"/>
    <mergeCell ref="C37:F37"/>
    <mergeCell ref="C38:F38"/>
    <mergeCell ref="A31:G31"/>
    <mergeCell ref="A32:G32"/>
    <mergeCell ref="A36:B36"/>
    <mergeCell ref="A2:F2"/>
    <mergeCell ref="E12:E13"/>
    <mergeCell ref="C12:C13"/>
    <mergeCell ref="C27:D27"/>
    <mergeCell ref="A29:B29"/>
    <mergeCell ref="A12:A13"/>
    <mergeCell ref="B12:B13"/>
    <mergeCell ref="D12:D13"/>
    <mergeCell ref="F12:F13"/>
  </mergeCells>
  <phoneticPr fontId="0" type="noConversion"/>
  <printOptions horizontalCentered="1"/>
  <pageMargins left="0.25" right="0.25" top="0.75" bottom="0.75" header="0.3" footer="0.3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1"/>
  <sheetViews>
    <sheetView showGridLines="0" view="pageBreakPreview" zoomScaleNormal="100" workbookViewId="0">
      <selection activeCell="A5" sqref="A5:E5"/>
    </sheetView>
  </sheetViews>
  <sheetFormatPr defaultColWidth="0" defaultRowHeight="21" zeroHeight="1"/>
  <cols>
    <col min="1" max="1" width="9.33203125" style="2" customWidth="1"/>
    <col min="2" max="2" width="40.83203125" style="2" customWidth="1"/>
    <col min="3" max="3" width="13.5" style="2" customWidth="1"/>
    <col min="4" max="4" width="12.6640625" style="2" customWidth="1"/>
    <col min="5" max="5" width="33.83203125" style="2" customWidth="1"/>
    <col min="6" max="6" width="28.1640625" style="2" hidden="1" customWidth="1"/>
    <col min="7" max="16357" width="0" style="2" hidden="1"/>
    <col min="16358" max="16358" width="18.33203125" style="2" customWidth="1"/>
    <col min="16359" max="16359" width="20.83203125" style="2" customWidth="1"/>
    <col min="16360" max="16360" width="18.5" style="2" customWidth="1"/>
    <col min="16361" max="16361" width="13.33203125" style="2" customWidth="1"/>
    <col min="16362" max="16362" width="17.1640625" style="2" customWidth="1"/>
    <col min="16363" max="16363" width="18.6640625" style="2" customWidth="1"/>
    <col min="16364" max="16364" width="17" style="2" customWidth="1"/>
    <col min="16365" max="16365" width="10.5" style="2" customWidth="1"/>
    <col min="16366" max="16366" width="16.6640625" style="2" customWidth="1"/>
    <col min="16367" max="16367" width="7.33203125" style="2" customWidth="1"/>
    <col min="16368" max="16368" width="6.6640625" style="2" customWidth="1"/>
    <col min="16369" max="16369" width="10.5" style="2" customWidth="1"/>
    <col min="16370" max="16370" width="7.5" style="2" customWidth="1"/>
    <col min="16371" max="16371" width="9.1640625" style="2" customWidth="1"/>
    <col min="16372" max="16372" width="15.83203125" style="2" customWidth="1"/>
    <col min="16373" max="16373" width="8.83203125" style="2" customWidth="1"/>
    <col min="16374" max="16374" width="8" style="2" customWidth="1"/>
    <col min="16375" max="16375" width="7" style="2" customWidth="1"/>
    <col min="16376" max="16376" width="7.33203125" style="2" customWidth="1"/>
    <col min="16377" max="16377" width="7.6640625" style="2" customWidth="1"/>
    <col min="16378" max="16378" width="5.83203125" style="2" customWidth="1"/>
    <col min="16379" max="16384" width="4" style="2" customWidth="1"/>
  </cols>
  <sheetData>
    <row r="1" spans="1:6" s="8" customFormat="1" ht="25.5" customHeight="1">
      <c r="E1" s="9" t="s">
        <v>109</v>
      </c>
      <c r="F1" s="9"/>
    </row>
    <row r="2" spans="1:6">
      <c r="A2" s="202" t="s">
        <v>110</v>
      </c>
      <c r="B2" s="202"/>
      <c r="C2" s="202"/>
      <c r="D2" s="202"/>
      <c r="E2" s="202"/>
      <c r="F2" s="202"/>
    </row>
    <row r="3" spans="1:6" ht="23.25" customHeight="1">
      <c r="A3" s="217" t="str">
        <f>ชื่อโครงการ!A4</f>
        <v>กลุ่มงาน : งานปรับปรุงอาคาร</v>
      </c>
      <c r="B3" s="217"/>
      <c r="C3" s="217"/>
      <c r="D3" s="217"/>
      <c r="E3" s="217"/>
      <c r="F3" s="10"/>
    </row>
    <row r="4" spans="1:6" ht="22.15" customHeight="1">
      <c r="A4" s="218" t="str">
        <f>ชื่อโครงการ!A2</f>
        <v xml:space="preserve">ชื่อโครงการ :สำหรับการจ้าง ปรับปรุงโรงฝึกปฏิบัติงานออกแบบอุตสาหกรรม แห่งการเรียนรู้เพื่อผลิตบัณฑิตสู่อุตสาหกรรมสร้างสรรค์ </v>
      </c>
      <c r="B4" s="218"/>
      <c r="C4" s="218"/>
      <c r="D4" s="218"/>
      <c r="E4" s="218"/>
      <c r="F4" s="4"/>
    </row>
    <row r="5" spans="1:6" ht="22.15" customHeight="1">
      <c r="A5" s="218" t="str">
        <f>ชื่อโครงการ!A3</f>
        <v xml:space="preserve">                 ตำบลในเมือง อำเภอเมืองนครราชสีมา จังหวัดนครราชสีมา จำนวน 1 รายการ</v>
      </c>
      <c r="B5" s="218"/>
      <c r="C5" s="218"/>
      <c r="D5" s="218"/>
      <c r="E5" s="218"/>
      <c r="F5" s="4"/>
    </row>
    <row r="6" spans="1:6">
      <c r="A6" s="219" t="str">
        <f>ชื่อโครงการ!A11</f>
        <v>สถานที่ก่อสร้าง : 744 ถนนสุรนารายณ์ ตำบลในเมือง อำเภอเมืองนครราชสีมา จังหวัดนครราชสีมา</v>
      </c>
      <c r="B6" s="219"/>
      <c r="C6" s="219"/>
      <c r="D6" s="219"/>
      <c r="E6" s="219"/>
      <c r="F6" s="4"/>
    </row>
    <row r="7" spans="1:6">
      <c r="A7" s="219" t="s">
        <v>111</v>
      </c>
      <c r="B7" s="219"/>
      <c r="C7" s="219"/>
      <c r="D7" s="219"/>
      <c r="E7" s="219"/>
      <c r="F7" s="4"/>
    </row>
    <row r="8" spans="1:6">
      <c r="A8" s="219" t="str">
        <f>ชื่อโครงการ!A13</f>
        <v>หน่วยงานเจ้าของโครงการ : คณะสถาปัตยกรรมศาสตร์และศิลปกรรมสร้างสรรค์ มหาวิทยาลัยเทคโนโลยีราชมงคลอีสาน</v>
      </c>
      <c r="B8" s="219"/>
      <c r="C8" s="219"/>
      <c r="D8" s="219"/>
      <c r="E8" s="219"/>
      <c r="F8" s="4"/>
    </row>
    <row r="9" spans="1:6">
      <c r="A9" s="3" t="str">
        <f>'ปร.5(ก)'!A9</f>
        <v>แบบ  ปร. 4   ที่แนบ มีจำนวน  6  หน้า</v>
      </c>
      <c r="B9" s="3"/>
      <c r="C9" s="3"/>
      <c r="D9" s="3"/>
      <c r="E9" s="3"/>
      <c r="F9" s="4"/>
    </row>
    <row r="10" spans="1:6">
      <c r="A10" s="219" t="str">
        <f>ชื่อโครงการ!A9</f>
        <v>คำนวณราคากลาง : โดยคณะกรรมการกำหนดราคากลาง  เมื่อวันที่ 15  เดือน พฤษภาคม พ.ศ. 2567</v>
      </c>
      <c r="B10" s="219"/>
      <c r="C10" s="219"/>
      <c r="D10" s="219"/>
      <c r="E10" s="219"/>
      <c r="F10" s="4"/>
    </row>
    <row r="11" spans="1:6" ht="33.75" customHeight="1" thickBot="1">
      <c r="A11" s="11" t="s">
        <v>2</v>
      </c>
      <c r="B11" s="11" t="s">
        <v>2</v>
      </c>
      <c r="C11" s="12" t="s">
        <v>2</v>
      </c>
      <c r="D11" s="11" t="s">
        <v>2</v>
      </c>
      <c r="E11" s="12" t="s">
        <v>2</v>
      </c>
      <c r="F11" s="11" t="s">
        <v>3</v>
      </c>
    </row>
    <row r="12" spans="1:6" ht="21.75" thickTop="1">
      <c r="A12" s="212" t="s">
        <v>6</v>
      </c>
      <c r="B12" s="212" t="s">
        <v>0</v>
      </c>
      <c r="C12" s="212" t="s">
        <v>112</v>
      </c>
      <c r="D12" s="13" t="s">
        <v>113</v>
      </c>
      <c r="E12" s="212" t="s">
        <v>99</v>
      </c>
      <c r="F12" s="212" t="s">
        <v>5</v>
      </c>
    </row>
    <row r="13" spans="1:6" ht="21.75" thickBot="1">
      <c r="A13" s="213"/>
      <c r="B13" s="213"/>
      <c r="C13" s="220"/>
      <c r="D13" s="14" t="s">
        <v>114</v>
      </c>
      <c r="E13" s="220"/>
      <c r="F13" s="213"/>
    </row>
    <row r="14" spans="1:6" ht="21.75" thickTop="1">
      <c r="A14" s="15">
        <v>1</v>
      </c>
      <c r="B14" s="16" t="str">
        <f>ปร.4!B97</f>
        <v xml:space="preserve">รวมหมวด3 งานครุภัณฑ์ </v>
      </c>
      <c r="C14" s="17">
        <f>ปร.4!I97</f>
        <v>81308</v>
      </c>
      <c r="D14" s="18">
        <v>1.07</v>
      </c>
      <c r="E14" s="17">
        <f>C14*D14</f>
        <v>86999.560000000012</v>
      </c>
      <c r="F14" s="19" t="s">
        <v>2</v>
      </c>
    </row>
    <row r="15" spans="1:6">
      <c r="A15" s="15"/>
      <c r="B15" s="16"/>
      <c r="C15" s="19"/>
      <c r="D15" s="19"/>
      <c r="E15" s="17"/>
      <c r="F15" s="19"/>
    </row>
    <row r="16" spans="1:6">
      <c r="A16" s="20"/>
      <c r="B16" s="16"/>
      <c r="C16" s="19"/>
      <c r="D16" s="19"/>
      <c r="E16" s="17"/>
      <c r="F16" s="19"/>
    </row>
    <row r="17" spans="1:6">
      <c r="A17" s="20"/>
      <c r="B17" s="16"/>
      <c r="C17" s="19"/>
      <c r="D17" s="19"/>
      <c r="E17" s="17"/>
      <c r="F17" s="19"/>
    </row>
    <row r="18" spans="1:6">
      <c r="A18" s="19"/>
      <c r="B18" s="21"/>
      <c r="C18" s="19"/>
      <c r="D18" s="19"/>
      <c r="E18" s="17"/>
      <c r="F18" s="19"/>
    </row>
    <row r="19" spans="1:6">
      <c r="A19" s="19"/>
      <c r="B19" s="22"/>
      <c r="C19" s="10"/>
      <c r="D19" s="19"/>
      <c r="E19" s="17"/>
      <c r="F19" s="19"/>
    </row>
    <row r="20" spans="1:6">
      <c r="A20" s="23"/>
      <c r="B20" s="24"/>
      <c r="C20" s="6"/>
      <c r="D20" s="23"/>
      <c r="E20" s="25"/>
      <c r="F20" s="23"/>
    </row>
    <row r="21" spans="1:6" ht="21.75" customHeight="1" thickBot="1">
      <c r="A21" s="26"/>
      <c r="B21" s="27"/>
      <c r="C21" s="26"/>
      <c r="D21" s="26"/>
      <c r="E21" s="28" t="s">
        <v>2</v>
      </c>
      <c r="F21" s="26"/>
    </row>
    <row r="22" spans="1:6" ht="24.75" customHeight="1" thickTop="1" thickBot="1">
      <c r="A22" s="1"/>
      <c r="B22" s="1"/>
      <c r="C22" s="215" t="s">
        <v>105</v>
      </c>
      <c r="D22" s="216"/>
      <c r="E22" s="29">
        <f>E14</f>
        <v>86999.560000000012</v>
      </c>
      <c r="F22" s="1"/>
    </row>
    <row r="23" spans="1:6" ht="18.75" customHeight="1" thickTop="1">
      <c r="A23" s="1"/>
      <c r="B23" s="1"/>
      <c r="C23" s="1"/>
      <c r="D23" s="1"/>
      <c r="E23" s="1"/>
      <c r="F23" s="1"/>
    </row>
    <row r="24" spans="1:6" s="79" customFormat="1" ht="21" customHeight="1">
      <c r="A24" s="214" t="s">
        <v>106</v>
      </c>
      <c r="B24" s="214"/>
      <c r="C24" s="77"/>
      <c r="D24" s="77"/>
      <c r="E24" s="78"/>
    </row>
    <row r="25" spans="1:6" s="79" customFormat="1" ht="21" customHeight="1">
      <c r="A25" s="80"/>
      <c r="B25" s="81"/>
      <c r="D25" s="82"/>
      <c r="E25" s="78"/>
    </row>
    <row r="26" spans="1:6" s="79" customFormat="1" ht="21" customHeight="1">
      <c r="A26" s="201" t="s">
        <v>107</v>
      </c>
      <c r="B26" s="201"/>
      <c r="C26" s="201"/>
      <c r="D26" s="201"/>
      <c r="E26" s="201"/>
      <c r="F26" s="201"/>
    </row>
    <row r="27" spans="1:6" s="79" customFormat="1" ht="21" customHeight="1">
      <c r="A27" s="201" t="s">
        <v>148</v>
      </c>
      <c r="B27" s="201"/>
      <c r="C27" s="201"/>
      <c r="D27" s="201"/>
      <c r="E27" s="201"/>
      <c r="F27" s="201"/>
    </row>
    <row r="28" spans="1:6" s="79" customFormat="1" ht="21" customHeight="1">
      <c r="A28" s="201" t="s">
        <v>108</v>
      </c>
      <c r="B28" s="201"/>
      <c r="C28" s="201"/>
      <c r="D28" s="201"/>
      <c r="E28" s="201"/>
      <c r="F28" s="201"/>
    </row>
    <row r="29" spans="1:6" s="79" customFormat="1" ht="21" customHeight="1">
      <c r="A29" s="83"/>
      <c r="B29" s="83"/>
      <c r="D29" s="83"/>
      <c r="E29" s="84"/>
    </row>
    <row r="30" spans="1:6" s="79" customFormat="1" ht="21" customHeight="1">
      <c r="A30" s="85"/>
      <c r="B30" s="85"/>
      <c r="D30" s="85"/>
      <c r="E30" s="78"/>
    </row>
    <row r="31" spans="1:6" s="44" customFormat="1">
      <c r="A31" s="201" t="s">
        <v>144</v>
      </c>
      <c r="B31" s="201"/>
      <c r="C31" s="201" t="s">
        <v>144</v>
      </c>
      <c r="D31" s="201"/>
      <c r="E31" s="201"/>
    </row>
    <row r="32" spans="1:6" s="44" customFormat="1">
      <c r="A32" s="201" t="s">
        <v>149</v>
      </c>
      <c r="B32" s="201"/>
      <c r="C32" s="201" t="s">
        <v>145</v>
      </c>
      <c r="D32" s="201"/>
      <c r="E32" s="201"/>
      <c r="F32" s="74"/>
    </row>
    <row r="33" spans="1:5" s="44" customFormat="1">
      <c r="A33" s="211" t="s">
        <v>151</v>
      </c>
      <c r="B33" s="211"/>
      <c r="C33" s="201" t="s">
        <v>146</v>
      </c>
      <c r="D33" s="201"/>
      <c r="E33" s="201"/>
    </row>
    <row r="34" spans="1:5"/>
    <row r="35" spans="1:5"/>
    <row r="36" spans="1:5"/>
    <row r="37" spans="1:5"/>
    <row r="38" spans="1:5"/>
    <row r="39" spans="1:5"/>
    <row r="40" spans="1:5"/>
    <row r="41" spans="1:5"/>
    <row r="42" spans="1:5"/>
    <row r="43" spans="1:5"/>
    <row r="44" spans="1:5"/>
    <row r="45" spans="1:5"/>
    <row r="46" spans="1:5"/>
    <row r="47" spans="1:5"/>
    <row r="48" spans="1:5"/>
    <row r="49"/>
    <row r="50"/>
    <row r="51"/>
    <row r="52"/>
    <row r="53"/>
    <row r="54"/>
    <row r="55"/>
    <row r="56"/>
    <row r="57"/>
    <row r="58"/>
    <row r="59"/>
    <row r="60"/>
    <row r="61"/>
  </sheetData>
  <mergeCells count="24">
    <mergeCell ref="A32:B32"/>
    <mergeCell ref="A33:B33"/>
    <mergeCell ref="A8:E8"/>
    <mergeCell ref="A10:E10"/>
    <mergeCell ref="C12:C13"/>
    <mergeCell ref="E12:E13"/>
    <mergeCell ref="A31:B31"/>
    <mergeCell ref="A28:F28"/>
    <mergeCell ref="C31:E31"/>
    <mergeCell ref="C32:E32"/>
    <mergeCell ref="C33:E33"/>
    <mergeCell ref="A2:F2"/>
    <mergeCell ref="A12:A13"/>
    <mergeCell ref="B12:B13"/>
    <mergeCell ref="F12:F13"/>
    <mergeCell ref="A27:F27"/>
    <mergeCell ref="A24:B24"/>
    <mergeCell ref="A26:F26"/>
    <mergeCell ref="C22:D22"/>
    <mergeCell ref="A3:E3"/>
    <mergeCell ref="A4:E4"/>
    <mergeCell ref="A6:E6"/>
    <mergeCell ref="A7:E7"/>
    <mergeCell ref="A5:E5"/>
  </mergeCells>
  <printOptions horizontalCentered="1"/>
  <pageMargins left="0.51181102362204722" right="0.47244094488188981" top="0.31496062992125984" bottom="0.27559055118110237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0"/>
  <sheetViews>
    <sheetView showGridLines="0" view="pageBreakPreview" zoomScaleNormal="100" zoomScaleSheetLayoutView="100" workbookViewId="0">
      <selection activeCell="C16" sqref="C16"/>
    </sheetView>
  </sheetViews>
  <sheetFormatPr defaultColWidth="7.5" defaultRowHeight="21" zeroHeight="1"/>
  <cols>
    <col min="1" max="1" width="9.1640625" style="44" customWidth="1"/>
    <col min="2" max="2" width="59" style="44" customWidth="1"/>
    <col min="3" max="3" width="26.1640625" style="44" customWidth="1"/>
    <col min="4" max="4" width="22.6640625" style="44" customWidth="1"/>
    <col min="5" max="7" width="7.5" style="44"/>
    <col min="8" max="8" width="32.1640625" style="44" customWidth="1"/>
    <col min="9" max="16384" width="7.5" style="44"/>
  </cols>
  <sheetData>
    <row r="1" spans="1:4" ht="21" customHeight="1">
      <c r="A1" s="42"/>
      <c r="B1" s="43" t="s">
        <v>115</v>
      </c>
      <c r="C1" s="224" t="s">
        <v>116</v>
      </c>
      <c r="D1" s="224"/>
    </row>
    <row r="2" spans="1:4" ht="21" customHeight="1">
      <c r="A2" s="225" t="s">
        <v>117</v>
      </c>
      <c r="B2" s="225"/>
      <c r="C2" s="225"/>
      <c r="D2" s="225"/>
    </row>
    <row r="3" spans="1:4" ht="21" customHeight="1">
      <c r="A3" s="45"/>
      <c r="B3" s="45"/>
      <c r="C3" s="45"/>
      <c r="D3" s="45"/>
    </row>
    <row r="4" spans="1:4" ht="21" customHeight="1">
      <c r="A4" s="93" t="str">
        <f>ชื่อโครงการ!A2</f>
        <v xml:space="preserve">ชื่อโครงการ :สำหรับการจ้าง ปรับปรุงโรงฝึกปฏิบัติงานออกแบบอุตสาหกรรม แห่งการเรียนรู้เพื่อผลิตบัณฑิตสู่อุตสาหกรรมสร้างสรรค์ </v>
      </c>
      <c r="B4" s="46"/>
      <c r="C4" s="46"/>
      <c r="D4" s="46"/>
    </row>
    <row r="5" spans="1:4" ht="21" customHeight="1">
      <c r="A5" s="93" t="str">
        <f>ชื่อโครงการ!A3</f>
        <v xml:space="preserve">                 ตำบลในเมือง อำเภอเมืองนครราชสีมา จังหวัดนครราชสีมา จำนวน 1 รายการ</v>
      </c>
      <c r="B5" s="46"/>
      <c r="C5" s="46"/>
      <c r="D5" s="46"/>
    </row>
    <row r="6" spans="1:4" ht="21" customHeight="1">
      <c r="A6" s="47" t="str">
        <f>ชื่อโครงการ!A11</f>
        <v>สถานที่ก่อสร้าง : 744 ถนนสุรนารายณ์ ตำบลในเมือง อำเภอเมืองนครราชสีมา จังหวัดนครราชสีมา</v>
      </c>
      <c r="B6" s="48"/>
      <c r="C6" s="48"/>
      <c r="D6" s="48"/>
    </row>
    <row r="7" spans="1:4" ht="21" customHeight="1">
      <c r="A7" s="48" t="s">
        <v>118</v>
      </c>
      <c r="B7" s="48"/>
      <c r="C7" s="48"/>
      <c r="D7" s="48"/>
    </row>
    <row r="8" spans="1:4" ht="21" customHeight="1">
      <c r="A8" s="48" t="str">
        <f>ชื่อโครงการ!A13</f>
        <v>หน่วยงานเจ้าของโครงการ : คณะสถาปัตยกรรมศาสตร์และศิลปกรรมสร้างสรรค์ มหาวิทยาลัยเทคโนโลยีราชมงคลอีสาน</v>
      </c>
      <c r="B8" s="48"/>
      <c r="C8" s="48"/>
      <c r="D8" s="48"/>
    </row>
    <row r="9" spans="1:4" ht="21" customHeight="1">
      <c r="A9" s="48" t="s">
        <v>119</v>
      </c>
      <c r="B9" s="48"/>
      <c r="C9" s="48"/>
      <c r="D9" s="48"/>
    </row>
    <row r="10" spans="1:4" ht="21" customHeight="1">
      <c r="A10" s="49" t="str">
        <f>ชื่อโครงการ!A9</f>
        <v>คำนวณราคากลาง : โดยคณะกรรมการกำหนดราคากลาง  เมื่อวันที่ 15  เดือน พฤษภาคม พ.ศ. 2567</v>
      </c>
      <c r="B10" s="50"/>
      <c r="C10" s="50"/>
      <c r="D10" s="50"/>
    </row>
    <row r="11" spans="1:4" ht="21" customHeight="1" thickBot="1">
      <c r="A11" s="51"/>
      <c r="B11" s="51"/>
      <c r="C11" s="51"/>
      <c r="D11" s="52" t="s">
        <v>3</v>
      </c>
    </row>
    <row r="12" spans="1:4" ht="21" customHeight="1" thickTop="1">
      <c r="A12" s="226" t="s">
        <v>6</v>
      </c>
      <c r="B12" s="226" t="s">
        <v>0</v>
      </c>
      <c r="C12" s="226" t="s">
        <v>99</v>
      </c>
      <c r="D12" s="226" t="s">
        <v>5</v>
      </c>
    </row>
    <row r="13" spans="1:4" ht="21" customHeight="1" thickBot="1">
      <c r="A13" s="227"/>
      <c r="B13" s="227"/>
      <c r="C13" s="228"/>
      <c r="D13" s="227"/>
    </row>
    <row r="14" spans="1:4" ht="21" customHeight="1" thickTop="1">
      <c r="A14" s="56">
        <v>1</v>
      </c>
      <c r="B14" s="57" t="str">
        <f>ปร.4!B81</f>
        <v>รวมหมวด1 งานวิศวกรรมไฟฟ้า</v>
      </c>
      <c r="C14" s="58">
        <f>'ปร.5(ก)'!E14</f>
        <v>1961040.6933782205</v>
      </c>
      <c r="D14" s="56"/>
    </row>
    <row r="15" spans="1:4" ht="21" customHeight="1">
      <c r="A15" s="56">
        <v>2</v>
      </c>
      <c r="B15" s="57" t="str">
        <f>'ปร.5(ก)'!B15</f>
        <v>รวมหมวด2 งานสถาปัตยกรรม</v>
      </c>
      <c r="C15" s="58">
        <f>'ปร.5(ก)'!E15</f>
        <v>92411.466</v>
      </c>
      <c r="D15" s="56"/>
    </row>
    <row r="16" spans="1:4" ht="21" customHeight="1">
      <c r="A16" s="56">
        <v>3</v>
      </c>
      <c r="B16" s="57" t="str">
        <f>'ปร.5(ข)'!B14</f>
        <v xml:space="preserve">รวมหมวด3 งานครุภัณฑ์ </v>
      </c>
      <c r="C16" s="58">
        <f>'ปร.5(ข)'!E22</f>
        <v>86999.560000000012</v>
      </c>
      <c r="D16" s="56"/>
    </row>
    <row r="17" spans="1:8" ht="21" customHeight="1">
      <c r="A17" s="56"/>
      <c r="B17" s="57"/>
      <c r="C17" s="58"/>
      <c r="D17" s="56"/>
    </row>
    <row r="18" spans="1:8" ht="21" customHeight="1">
      <c r="A18" s="56"/>
      <c r="B18" s="57"/>
      <c r="C18" s="58"/>
      <c r="D18" s="56"/>
    </row>
    <row r="19" spans="1:8" ht="21" customHeight="1">
      <c r="A19" s="56"/>
      <c r="B19" s="57"/>
      <c r="C19" s="58"/>
      <c r="D19" s="56"/>
    </row>
    <row r="20" spans="1:8" ht="21" customHeight="1">
      <c r="A20" s="59"/>
      <c r="B20" s="60"/>
      <c r="C20" s="61"/>
      <c r="D20" s="59"/>
    </row>
    <row r="21" spans="1:8" ht="21" customHeight="1" thickBot="1">
      <c r="A21" s="62"/>
      <c r="B21" s="63"/>
      <c r="C21" s="64"/>
      <c r="D21" s="62"/>
    </row>
    <row r="22" spans="1:8" ht="21" customHeight="1" thickTop="1">
      <c r="A22" s="221" t="s">
        <v>120</v>
      </c>
      <c r="B22" s="53" t="s">
        <v>121</v>
      </c>
      <c r="C22" s="65">
        <f>SUM(C14:C21)</f>
        <v>2140451.7193782204</v>
      </c>
      <c r="D22" s="66"/>
      <c r="H22" s="162">
        <f>C23</f>
        <v>2140451.7193782204</v>
      </c>
    </row>
    <row r="23" spans="1:8" ht="21" customHeight="1" thickBot="1">
      <c r="A23" s="222"/>
      <c r="B23" s="54" t="s">
        <v>122</v>
      </c>
      <c r="C23" s="67">
        <f>C22</f>
        <v>2140451.7193782204</v>
      </c>
      <c r="D23" s="55"/>
      <c r="H23" s="160">
        <v>2104600</v>
      </c>
    </row>
    <row r="24" spans="1:8" ht="21" customHeight="1" thickTop="1">
      <c r="A24" s="222"/>
      <c r="D24" s="68"/>
      <c r="H24" s="161">
        <f>C23/H23</f>
        <v>1.0170349327084578</v>
      </c>
    </row>
    <row r="25" spans="1:8" ht="21" customHeight="1" thickBot="1">
      <c r="A25" s="223"/>
      <c r="B25" s="89" t="str">
        <f>BAHTTEXT(C23)</f>
        <v>สองล้านหนึ่งแสนสี่หมื่นสี่ร้อยห้าสิบเอ็ดบาทเจ็ดสิบสองสตางค์</v>
      </c>
      <c r="C25" s="69"/>
      <c r="D25" s="70"/>
      <c r="H25" s="162">
        <f>C23-H23</f>
        <v>35851.719378220383</v>
      </c>
    </row>
    <row r="26" spans="1:8" ht="21" customHeight="1" thickTop="1">
      <c r="A26" s="71"/>
      <c r="B26" s="72"/>
      <c r="C26" s="73"/>
      <c r="D26" s="73"/>
      <c r="E26" s="73"/>
    </row>
    <row r="27" spans="1:8">
      <c r="A27" s="207" t="s">
        <v>106</v>
      </c>
      <c r="B27" s="207"/>
      <c r="C27" s="42"/>
      <c r="D27" s="42"/>
      <c r="E27" s="73"/>
    </row>
    <row r="28" spans="1:8" ht="21" customHeight="1">
      <c r="A28" s="90"/>
      <c r="B28" s="91"/>
      <c r="D28" s="74"/>
      <c r="E28" s="73"/>
    </row>
    <row r="29" spans="1:8">
      <c r="A29" s="74"/>
      <c r="B29" s="201" t="s">
        <v>107</v>
      </c>
      <c r="C29" s="201"/>
      <c r="D29" s="74"/>
      <c r="E29" s="73"/>
    </row>
    <row r="30" spans="1:8">
      <c r="A30" s="74"/>
      <c r="B30" s="201" t="s">
        <v>148</v>
      </c>
      <c r="C30" s="201"/>
      <c r="D30" s="74"/>
      <c r="E30" s="74"/>
      <c r="F30" s="74"/>
    </row>
    <row r="31" spans="1:8">
      <c r="A31" s="74"/>
      <c r="B31" s="201" t="s">
        <v>108</v>
      </c>
      <c r="C31" s="201"/>
      <c r="D31" s="74"/>
      <c r="E31" s="41"/>
    </row>
    <row r="32" spans="1:8" ht="21" customHeight="1">
      <c r="A32" s="75"/>
      <c r="B32" s="75"/>
      <c r="D32" s="75"/>
      <c r="E32" s="76"/>
    </row>
    <row r="33" spans="1:6" ht="21" customHeight="1">
      <c r="A33" s="92"/>
      <c r="B33" s="92"/>
      <c r="D33" s="92"/>
      <c r="E33" s="73"/>
    </row>
    <row r="34" spans="1:6">
      <c r="A34" s="201" t="s">
        <v>144</v>
      </c>
      <c r="B34" s="201"/>
      <c r="C34" s="211" t="s">
        <v>144</v>
      </c>
      <c r="D34" s="211"/>
      <c r="E34" s="73"/>
    </row>
    <row r="35" spans="1:6">
      <c r="A35" s="201" t="s">
        <v>149</v>
      </c>
      <c r="B35" s="201"/>
      <c r="C35" s="211" t="s">
        <v>145</v>
      </c>
      <c r="D35" s="211"/>
      <c r="E35" s="74"/>
      <c r="F35" s="74"/>
    </row>
    <row r="36" spans="1:6">
      <c r="A36" s="211" t="s">
        <v>152</v>
      </c>
      <c r="B36" s="211"/>
      <c r="C36" s="211" t="s">
        <v>146</v>
      </c>
      <c r="D36" s="211"/>
    </row>
    <row r="37" spans="1:6" ht="21" customHeight="1">
      <c r="A37" s="75"/>
      <c r="B37" s="75"/>
      <c r="D37" s="75"/>
    </row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  <row r="48" spans="1: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</sheetData>
  <mergeCells count="17">
    <mergeCell ref="A36:B36"/>
    <mergeCell ref="C36:D36"/>
    <mergeCell ref="B31:C31"/>
    <mergeCell ref="A34:B34"/>
    <mergeCell ref="C34:D34"/>
    <mergeCell ref="A35:B35"/>
    <mergeCell ref="C35:D35"/>
    <mergeCell ref="A22:A25"/>
    <mergeCell ref="A27:B27"/>
    <mergeCell ref="B29:C29"/>
    <mergeCell ref="B30:C30"/>
    <mergeCell ref="C1:D1"/>
    <mergeCell ref="A2:D2"/>
    <mergeCell ref="A12:A13"/>
    <mergeCell ref="B12:B13"/>
    <mergeCell ref="D12:D13"/>
    <mergeCell ref="C12:C13"/>
  </mergeCells>
  <phoneticPr fontId="0" type="noConversion"/>
  <printOptions horizontalCentered="1"/>
  <pageMargins left="0.51181102362204722" right="0.51181102362204722" top="0.47244094488188981" bottom="0.39370078740157483" header="0.31496062992125984" footer="0.31496062992125984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6660-B681-45C4-A9A5-6DB1AB645DF1}">
  <sheetPr>
    <tabColor rgb="FF00B050"/>
  </sheetPr>
  <dimension ref="A2:C13"/>
  <sheetViews>
    <sheetView workbookViewId="0">
      <selection activeCell="A17" sqref="A17"/>
    </sheetView>
  </sheetViews>
  <sheetFormatPr defaultColWidth="8.83203125" defaultRowHeight="18.75"/>
  <cols>
    <col min="1" max="1" width="61" style="87" customWidth="1"/>
    <col min="2" max="2" width="53" style="87" customWidth="1"/>
    <col min="3" max="3" width="57.5" style="87" customWidth="1"/>
    <col min="4" max="16384" width="8.83203125" style="87"/>
  </cols>
  <sheetData>
    <row r="2" spans="1:3">
      <c r="A2" s="86" t="s">
        <v>142</v>
      </c>
    </row>
    <row r="3" spans="1:3" ht="24.75" customHeight="1">
      <c r="A3" s="86" t="s">
        <v>163</v>
      </c>
    </row>
    <row r="4" spans="1:3">
      <c r="A4" s="87" t="s">
        <v>123</v>
      </c>
      <c r="B4" s="87" t="s">
        <v>123</v>
      </c>
    </row>
    <row r="5" spans="1:3">
      <c r="A5" s="86"/>
      <c r="B5" s="86" t="s">
        <v>124</v>
      </c>
    </row>
    <row r="6" spans="1:3" ht="9.9499999999999993" customHeight="1">
      <c r="A6" s="86"/>
    </row>
    <row r="7" spans="1:3">
      <c r="A7" s="87" t="s">
        <v>1</v>
      </c>
    </row>
    <row r="8" spans="1:3" ht="9.9499999999999993" customHeight="1">
      <c r="A8" s="86"/>
    </row>
    <row r="9" spans="1:3">
      <c r="A9" s="87" t="s">
        <v>162</v>
      </c>
    </row>
    <row r="10" spans="1:3" ht="9.9499999999999993" customHeight="1">
      <c r="A10" s="86"/>
    </row>
    <row r="11" spans="1:3">
      <c r="A11" s="87" t="s">
        <v>125</v>
      </c>
      <c r="B11" s="87" t="s">
        <v>125</v>
      </c>
      <c r="C11" s="86" t="s">
        <v>126</v>
      </c>
    </row>
    <row r="12" spans="1:3" ht="9.9499999999999993" customHeight="1">
      <c r="A12" s="86"/>
    </row>
    <row r="13" spans="1:3">
      <c r="A13" s="87" t="s">
        <v>127</v>
      </c>
      <c r="B13" s="87" t="s">
        <v>128</v>
      </c>
      <c r="C13" s="87" t="s">
        <v>129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ปร.4</vt:lpstr>
      <vt:lpstr>ปร.5(ก)</vt:lpstr>
      <vt:lpstr>ปร.5(ข)</vt:lpstr>
      <vt:lpstr>ปร.6</vt:lpstr>
      <vt:lpstr>ชื่อโครงการ</vt:lpstr>
      <vt:lpstr>ปร.4!Print_Area</vt:lpstr>
      <vt:lpstr>'ปร.5(ก)'!Print_Area</vt:lpstr>
      <vt:lpstr>'ปร.5(ข)'!Print_Area</vt:lpstr>
      <vt:lpstr>ปร.6!Print_Area</vt:lpstr>
      <vt:lpstr>ปร.4!Print_Titles</vt:lpstr>
    </vt:vector>
  </TitlesOfParts>
  <Manager/>
  <Company>กรมโยธาธิการ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สุชาติ ภูรีสารศัพท์</dc:creator>
  <cp:keywords/>
  <dc:description/>
  <cp:lastModifiedBy>Sayun Khondputsa</cp:lastModifiedBy>
  <cp:revision/>
  <cp:lastPrinted>2024-05-17T01:47:47Z</cp:lastPrinted>
  <dcterms:created xsi:type="dcterms:W3CDTF">1999-12-06T05:31:38Z</dcterms:created>
  <dcterms:modified xsi:type="dcterms:W3CDTF">2024-05-17T01:48:11Z</dcterms:modified>
  <cp:category/>
  <cp:contentStatus/>
</cp:coreProperties>
</file>